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8340" yWindow="0" windowWidth="19280" windowHeight="16700" tabRatio="779" activeTab="1"/>
  </bookViews>
  <sheets>
    <sheet name="Chapter 5" sheetId="5" r:id="rId1"/>
    <sheet name="Chapter 6" sheetId="6" r:id="rId2"/>
    <sheet name="Chapter 7" sheetId="7" r:id="rId3"/>
    <sheet name="Chapter 8" sheetId="8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8" i="8" l="1"/>
  <c r="F278" i="8"/>
  <c r="F277" i="8"/>
  <c r="F279" i="8"/>
  <c r="F281" i="8"/>
  <c r="F282" i="8"/>
  <c r="F284" i="8"/>
  <c r="C279" i="8"/>
  <c r="C281" i="8"/>
  <c r="C282" i="8"/>
  <c r="C284" i="8"/>
  <c r="F283" i="8"/>
  <c r="C283" i="8"/>
  <c r="C269" i="8"/>
  <c r="F269" i="8"/>
  <c r="F268" i="8"/>
  <c r="F270" i="8"/>
  <c r="F272" i="8"/>
  <c r="F273" i="8"/>
  <c r="F275" i="8"/>
  <c r="C270" i="8"/>
  <c r="C272" i="8"/>
  <c r="C273" i="8"/>
  <c r="C275" i="8"/>
  <c r="F274" i="8"/>
  <c r="C274" i="8"/>
  <c r="G259" i="8"/>
  <c r="G260" i="8"/>
  <c r="G261" i="8"/>
  <c r="G262" i="8"/>
  <c r="G264" i="8"/>
  <c r="C259" i="8"/>
  <c r="C261" i="8"/>
  <c r="C262" i="8"/>
  <c r="C264" i="8"/>
  <c r="G263" i="8"/>
  <c r="C263" i="8"/>
  <c r="G248" i="8"/>
  <c r="G249" i="8"/>
  <c r="G250" i="8"/>
  <c r="G251" i="8"/>
  <c r="G253" i="8"/>
  <c r="C248" i="8"/>
  <c r="C250" i="8"/>
  <c r="C251" i="8"/>
  <c r="C253" i="8"/>
  <c r="G252" i="8"/>
  <c r="C252" i="8"/>
  <c r="B239" i="8"/>
  <c r="B240" i="8"/>
  <c r="D241" i="8"/>
  <c r="C235" i="8"/>
  <c r="C234" i="8"/>
  <c r="C176" i="8"/>
  <c r="E226" i="8"/>
  <c r="C171" i="8"/>
  <c r="C198" i="8"/>
  <c r="E227" i="8"/>
  <c r="E228" i="8"/>
  <c r="E229" i="8"/>
  <c r="E230" i="8"/>
  <c r="E232" i="8"/>
  <c r="E231" i="8"/>
  <c r="G217" i="8"/>
  <c r="G216" i="8"/>
  <c r="G218" i="8"/>
  <c r="G219" i="8"/>
  <c r="G220" i="8"/>
  <c r="G221" i="8"/>
  <c r="G223" i="8"/>
  <c r="C217" i="8"/>
  <c r="C216" i="8"/>
  <c r="C218" i="8"/>
  <c r="C220" i="8"/>
  <c r="C221" i="8"/>
  <c r="C223" i="8"/>
  <c r="G222" i="8"/>
  <c r="C222" i="8"/>
  <c r="C174" i="8"/>
  <c r="C175" i="8"/>
  <c r="C194" i="8"/>
  <c r="C197" i="8"/>
  <c r="G203" i="8"/>
  <c r="G205" i="8"/>
  <c r="G206" i="8"/>
  <c r="G207" i="8"/>
  <c r="C156" i="8"/>
  <c r="C96" i="8"/>
  <c r="E145" i="8"/>
  <c r="C75" i="8"/>
  <c r="C91" i="8"/>
  <c r="C118" i="8"/>
  <c r="E146" i="8"/>
  <c r="E147" i="8"/>
  <c r="E148" i="8"/>
  <c r="E149" i="8"/>
  <c r="E151" i="8"/>
  <c r="E150" i="8"/>
  <c r="G136" i="8"/>
  <c r="G135" i="8"/>
  <c r="G137" i="8"/>
  <c r="G138" i="8"/>
  <c r="G139" i="8"/>
  <c r="G140" i="8"/>
  <c r="G142" i="8"/>
  <c r="C136" i="8"/>
  <c r="C135" i="8"/>
  <c r="C137" i="8"/>
  <c r="C139" i="8"/>
  <c r="C140" i="8"/>
  <c r="C142" i="8"/>
  <c r="G141" i="8"/>
  <c r="C141" i="8"/>
  <c r="C94" i="8"/>
  <c r="C95" i="8"/>
  <c r="C117" i="8"/>
  <c r="G123" i="8"/>
  <c r="G125" i="8"/>
  <c r="G126" i="8"/>
  <c r="G127" i="8"/>
  <c r="C14" i="8"/>
  <c r="C18" i="8"/>
  <c r="C15" i="8"/>
  <c r="C19" i="8"/>
  <c r="C57" i="8"/>
  <c r="C58" i="8"/>
  <c r="G63" i="8"/>
  <c r="G65" i="8"/>
  <c r="G66" i="8"/>
  <c r="G67" i="8"/>
  <c r="C39" i="8"/>
  <c r="G44" i="8"/>
  <c r="G46" i="8"/>
  <c r="G47" i="8"/>
  <c r="G48" i="8"/>
  <c r="C38" i="8"/>
  <c r="C397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C428" i="7"/>
  <c r="D432" i="7"/>
  <c r="C398" i="7"/>
  <c r="C429" i="7"/>
  <c r="D431" i="7"/>
  <c r="C427" i="7"/>
  <c r="C396" i="7"/>
  <c r="C371" i="7"/>
  <c r="C372" i="7"/>
  <c r="E389" i="7"/>
  <c r="G389" i="7"/>
  <c r="H389" i="7"/>
  <c r="D388" i="7"/>
  <c r="F388" i="7"/>
  <c r="H388" i="7"/>
  <c r="C366" i="7"/>
  <c r="C339" i="7"/>
  <c r="E355" i="7"/>
  <c r="C334" i="7"/>
  <c r="E356" i="7"/>
  <c r="E358" i="7"/>
  <c r="E359" i="7"/>
  <c r="E361" i="7"/>
  <c r="E360" i="7"/>
  <c r="G346" i="7"/>
  <c r="G345" i="7"/>
  <c r="G347" i="7"/>
  <c r="G349" i="7"/>
  <c r="G350" i="7"/>
  <c r="G352" i="7"/>
  <c r="C346" i="7"/>
  <c r="C345" i="7"/>
  <c r="C347" i="7"/>
  <c r="C349" i="7"/>
  <c r="C350" i="7"/>
  <c r="C352" i="7"/>
  <c r="G351" i="7"/>
  <c r="C351" i="7"/>
  <c r="C337" i="7"/>
  <c r="C338" i="7"/>
  <c r="C319" i="7"/>
  <c r="D276" i="7"/>
  <c r="C276" i="7"/>
  <c r="C292" i="7"/>
  <c r="E308" i="7"/>
  <c r="C269" i="7"/>
  <c r="D269" i="7"/>
  <c r="C286" i="7"/>
  <c r="E309" i="7"/>
  <c r="E311" i="7"/>
  <c r="E312" i="7"/>
  <c r="E314" i="7"/>
  <c r="E313" i="7"/>
  <c r="G299" i="7"/>
  <c r="G298" i="7"/>
  <c r="G300" i="7"/>
  <c r="G302" i="7"/>
  <c r="G303" i="7"/>
  <c r="G305" i="7"/>
  <c r="C299" i="7"/>
  <c r="C298" i="7"/>
  <c r="C300" i="7"/>
  <c r="C302" i="7"/>
  <c r="C303" i="7"/>
  <c r="C305" i="7"/>
  <c r="G304" i="7"/>
  <c r="C304" i="7"/>
  <c r="C289" i="7"/>
  <c r="C291" i="7"/>
  <c r="C290" i="7"/>
  <c r="C266" i="7"/>
  <c r="C223" i="7"/>
  <c r="D223" i="7"/>
  <c r="C239" i="7"/>
  <c r="E255" i="7"/>
  <c r="C216" i="7"/>
  <c r="D216" i="7"/>
  <c r="C233" i="7"/>
  <c r="E256" i="7"/>
  <c r="E258" i="7"/>
  <c r="E259" i="7"/>
  <c r="E261" i="7"/>
  <c r="E260" i="7"/>
  <c r="G246" i="7"/>
  <c r="G245" i="7"/>
  <c r="G247" i="7"/>
  <c r="G249" i="7"/>
  <c r="G250" i="7"/>
  <c r="G252" i="7"/>
  <c r="C246" i="7"/>
  <c r="C245" i="7"/>
  <c r="C247" i="7"/>
  <c r="C249" i="7"/>
  <c r="C250" i="7"/>
  <c r="C252" i="7"/>
  <c r="G251" i="7"/>
  <c r="C251" i="7"/>
  <c r="C236" i="7"/>
  <c r="C238" i="7"/>
  <c r="C237" i="7"/>
  <c r="C213" i="7"/>
  <c r="C186" i="7"/>
  <c r="E202" i="7"/>
  <c r="C147" i="7"/>
  <c r="C180" i="7"/>
  <c r="E203" i="7"/>
  <c r="E205" i="7"/>
  <c r="E206" i="7"/>
  <c r="E208" i="7"/>
  <c r="E207" i="7"/>
  <c r="G193" i="7"/>
  <c r="G192" i="7"/>
  <c r="G194" i="7"/>
  <c r="G196" i="7"/>
  <c r="G197" i="7"/>
  <c r="G199" i="7"/>
  <c r="C193" i="7"/>
  <c r="C192" i="7"/>
  <c r="C194" i="7"/>
  <c r="C196" i="7"/>
  <c r="C197" i="7"/>
  <c r="C199" i="7"/>
  <c r="G198" i="7"/>
  <c r="C198" i="7"/>
  <c r="C179" i="7"/>
  <c r="C183" i="7"/>
  <c r="C185" i="7"/>
  <c r="C184" i="7"/>
  <c r="G168" i="7"/>
  <c r="C168" i="7"/>
  <c r="G165" i="7"/>
  <c r="C162" i="7"/>
  <c r="G167" i="7"/>
  <c r="C165" i="7"/>
  <c r="C167" i="7"/>
  <c r="G166" i="7"/>
  <c r="C166" i="7"/>
  <c r="G162" i="7"/>
  <c r="G161" i="7"/>
  <c r="C161" i="7"/>
  <c r="C140" i="7"/>
  <c r="C134" i="7"/>
  <c r="C138" i="7"/>
  <c r="C120" i="7"/>
  <c r="C135" i="7"/>
  <c r="C139" i="7"/>
  <c r="C112" i="7"/>
  <c r="C105" i="7"/>
  <c r="C109" i="7"/>
  <c r="C91" i="7"/>
  <c r="C106" i="7"/>
  <c r="C111" i="7"/>
  <c r="C110" i="7"/>
  <c r="C83" i="7"/>
  <c r="C76" i="7"/>
  <c r="C80" i="7"/>
  <c r="C62" i="7"/>
  <c r="C77" i="7"/>
  <c r="C82" i="7"/>
  <c r="C81" i="7"/>
  <c r="C39" i="7"/>
  <c r="C56" i="7"/>
  <c r="C54" i="7"/>
  <c r="C42" i="7"/>
  <c r="C51" i="7"/>
  <c r="C55" i="7"/>
  <c r="H27" i="7"/>
  <c r="J27" i="7"/>
  <c r="G27" i="7"/>
  <c r="I27" i="7"/>
  <c r="K27" i="7"/>
  <c r="C27" i="7"/>
  <c r="D27" i="7"/>
  <c r="F27" i="7"/>
  <c r="E27" i="7"/>
  <c r="C26" i="7"/>
  <c r="D26" i="7"/>
  <c r="H26" i="7"/>
  <c r="J26" i="7"/>
  <c r="K26" i="7"/>
  <c r="C25" i="7"/>
  <c r="D25" i="7"/>
  <c r="G25" i="7"/>
  <c r="I25" i="7"/>
  <c r="K25" i="7"/>
  <c r="C18" i="7"/>
  <c r="C22" i="7"/>
  <c r="C21" i="7"/>
  <c r="C12" i="7"/>
  <c r="D12" i="7"/>
  <c r="H12" i="7"/>
  <c r="J12" i="7"/>
  <c r="G12" i="7"/>
  <c r="I12" i="7"/>
  <c r="K12" i="7"/>
  <c r="C11" i="7"/>
  <c r="D11" i="7"/>
  <c r="H11" i="7"/>
  <c r="J11" i="7"/>
  <c r="K11" i="7"/>
  <c r="C10" i="7"/>
  <c r="D10" i="7"/>
  <c r="H10" i="7"/>
  <c r="J10" i="7"/>
  <c r="K10" i="7"/>
  <c r="C9" i="7"/>
  <c r="D9" i="7"/>
  <c r="G9" i="7"/>
  <c r="I9" i="7"/>
  <c r="K9" i="7"/>
  <c r="C8" i="7"/>
  <c r="D8" i="7"/>
  <c r="G8" i="7"/>
  <c r="I8" i="7"/>
  <c r="K8" i="7"/>
  <c r="C7" i="7"/>
  <c r="D7" i="7"/>
  <c r="G7" i="7"/>
  <c r="I7" i="7"/>
  <c r="K7" i="7"/>
  <c r="C4" i="7"/>
  <c r="B3" i="6"/>
  <c r="B178" i="6"/>
  <c r="B179" i="6"/>
  <c r="E182" i="6"/>
  <c r="G182" i="6"/>
  <c r="D182" i="6"/>
  <c r="F182" i="6"/>
  <c r="H182" i="6"/>
  <c r="C181" i="6"/>
  <c r="E181" i="6"/>
  <c r="G181" i="6"/>
  <c r="B181" i="6"/>
  <c r="D181" i="6"/>
  <c r="F181" i="6"/>
  <c r="H181" i="6"/>
  <c r="B171" i="6"/>
  <c r="B172" i="6"/>
  <c r="E175" i="6"/>
  <c r="G175" i="6"/>
  <c r="D175" i="6"/>
  <c r="F175" i="6"/>
  <c r="H175" i="6"/>
  <c r="C174" i="6"/>
  <c r="E174" i="6"/>
  <c r="G174" i="6"/>
  <c r="B174" i="6"/>
  <c r="D174" i="6"/>
  <c r="F174" i="6"/>
  <c r="H174" i="6"/>
  <c r="C148" i="6"/>
  <c r="E148" i="6"/>
  <c r="F148" i="6"/>
  <c r="C149" i="6"/>
  <c r="E149" i="6"/>
  <c r="F149" i="6"/>
  <c r="C150" i="6"/>
  <c r="E150" i="6"/>
  <c r="F150" i="6"/>
  <c r="C151" i="6"/>
  <c r="E151" i="6"/>
  <c r="F151" i="6"/>
  <c r="C152" i="6"/>
  <c r="E152" i="6"/>
  <c r="F152" i="6"/>
  <c r="B164" i="6"/>
  <c r="C155" i="6"/>
  <c r="C156" i="6"/>
  <c r="C157" i="6"/>
  <c r="C158" i="6"/>
  <c r="C159" i="6"/>
  <c r="B161" i="6"/>
  <c r="B162" i="6"/>
  <c r="G134" i="6"/>
  <c r="E134" i="6"/>
  <c r="B131" i="6"/>
  <c r="C134" i="6"/>
  <c r="B121" i="6"/>
  <c r="B122" i="6"/>
  <c r="B123" i="6"/>
  <c r="E125" i="6"/>
  <c r="G125" i="6"/>
  <c r="D125" i="6"/>
  <c r="F125" i="6"/>
  <c r="H125" i="6"/>
  <c r="C117" i="6"/>
  <c r="C114" i="6"/>
  <c r="B105" i="6"/>
  <c r="B106" i="6"/>
  <c r="E114" i="6"/>
  <c r="G114" i="6"/>
  <c r="B114" i="6"/>
  <c r="D114" i="6"/>
  <c r="F114" i="6"/>
  <c r="H114" i="6"/>
  <c r="B112" i="6"/>
  <c r="B111" i="6"/>
  <c r="E108" i="6"/>
  <c r="G108" i="6"/>
  <c r="D108" i="6"/>
  <c r="F108" i="6"/>
  <c r="H108" i="6"/>
  <c r="C98" i="6"/>
  <c r="C99" i="6"/>
  <c r="C100" i="6"/>
  <c r="C102" i="6"/>
  <c r="B93" i="6"/>
  <c r="E87" i="6"/>
  <c r="G87" i="6"/>
  <c r="D87" i="6"/>
  <c r="F87" i="6"/>
  <c r="H87" i="6"/>
  <c r="E86" i="6"/>
  <c r="G86" i="6"/>
  <c r="D86" i="6"/>
  <c r="F86" i="6"/>
  <c r="H86" i="6"/>
  <c r="D85" i="6"/>
  <c r="F85" i="6"/>
  <c r="H85" i="6"/>
  <c r="B72" i="6"/>
  <c r="E78" i="6"/>
  <c r="G78" i="6"/>
  <c r="D78" i="6"/>
  <c r="F78" i="6"/>
  <c r="H78" i="6"/>
  <c r="E77" i="6"/>
  <c r="G77" i="6"/>
  <c r="H77" i="6"/>
  <c r="D76" i="6"/>
  <c r="F76" i="6"/>
  <c r="H76" i="6"/>
  <c r="E75" i="6"/>
  <c r="G75" i="6"/>
  <c r="D75" i="6"/>
  <c r="F75" i="6"/>
  <c r="H75" i="6"/>
  <c r="E74" i="6"/>
  <c r="G74" i="6"/>
  <c r="D74" i="6"/>
  <c r="F74" i="6"/>
  <c r="H74" i="6"/>
  <c r="E66" i="6"/>
  <c r="G66" i="6"/>
  <c r="H66" i="6"/>
  <c r="E65" i="6"/>
  <c r="G65" i="6"/>
  <c r="H65" i="6"/>
  <c r="E64" i="6"/>
  <c r="G64" i="6"/>
  <c r="H64" i="6"/>
  <c r="E63" i="6"/>
  <c r="G63" i="6"/>
  <c r="H63" i="6"/>
  <c r="E62" i="6"/>
  <c r="G62" i="6"/>
  <c r="H62" i="6"/>
  <c r="E55" i="6"/>
  <c r="G55" i="6"/>
  <c r="H55" i="6"/>
  <c r="E54" i="6"/>
  <c r="G54" i="6"/>
  <c r="H54" i="6"/>
  <c r="D53" i="6"/>
  <c r="F53" i="6"/>
  <c r="H53" i="6"/>
  <c r="E52" i="6"/>
  <c r="G52" i="6"/>
  <c r="H52" i="6"/>
  <c r="E51" i="6"/>
  <c r="G51" i="6"/>
  <c r="D51" i="6"/>
  <c r="F51" i="6"/>
  <c r="H51" i="6"/>
  <c r="E50" i="6"/>
  <c r="G50" i="6"/>
  <c r="D50" i="6"/>
  <c r="F50" i="6"/>
  <c r="H50" i="6"/>
  <c r="E49" i="6"/>
  <c r="G49" i="6"/>
  <c r="D49" i="6"/>
  <c r="F49" i="6"/>
  <c r="H49" i="6"/>
  <c r="B37" i="6"/>
  <c r="E42" i="6"/>
  <c r="G42" i="6"/>
  <c r="H42" i="6"/>
  <c r="E41" i="6"/>
  <c r="G41" i="6"/>
  <c r="D41" i="6"/>
  <c r="F41" i="6"/>
  <c r="H41" i="6"/>
  <c r="E40" i="6"/>
  <c r="G40" i="6"/>
  <c r="D40" i="6"/>
  <c r="F40" i="6"/>
  <c r="H40" i="6"/>
  <c r="E39" i="6"/>
  <c r="G39" i="6"/>
  <c r="D39" i="6"/>
  <c r="F39" i="6"/>
  <c r="H39" i="6"/>
  <c r="E31" i="6"/>
  <c r="G31" i="6"/>
  <c r="D31" i="6"/>
  <c r="F31" i="6"/>
  <c r="H31" i="6"/>
  <c r="E30" i="6"/>
  <c r="G30" i="6"/>
  <c r="D30" i="6"/>
  <c r="F30" i="6"/>
  <c r="H30" i="6"/>
  <c r="E29" i="6"/>
  <c r="G29" i="6"/>
  <c r="D29" i="6"/>
  <c r="F29" i="6"/>
  <c r="H29" i="6"/>
  <c r="D28" i="6"/>
  <c r="F28" i="6"/>
  <c r="H28" i="6"/>
  <c r="E27" i="6"/>
  <c r="G27" i="6"/>
  <c r="H27" i="6"/>
  <c r="D26" i="6"/>
  <c r="F26" i="6"/>
  <c r="H26" i="6"/>
  <c r="E25" i="6"/>
  <c r="G25" i="6"/>
  <c r="H25" i="6"/>
  <c r="E18" i="6"/>
  <c r="G18" i="6"/>
  <c r="H18" i="6"/>
  <c r="D17" i="6"/>
  <c r="F17" i="6"/>
  <c r="H17" i="6"/>
  <c r="E16" i="6"/>
  <c r="G16" i="6"/>
  <c r="D16" i="6"/>
  <c r="F16" i="6"/>
  <c r="H16" i="6"/>
  <c r="E15" i="6"/>
  <c r="G15" i="6"/>
  <c r="D15" i="6"/>
  <c r="F15" i="6"/>
  <c r="H15" i="6"/>
  <c r="E14" i="6"/>
  <c r="G14" i="6"/>
  <c r="D14" i="6"/>
  <c r="F14" i="6"/>
  <c r="H14" i="6"/>
  <c r="D13" i="6"/>
  <c r="F13" i="6"/>
  <c r="H13" i="6"/>
  <c r="E12" i="6"/>
  <c r="G12" i="6"/>
  <c r="H12" i="6"/>
  <c r="D11" i="6"/>
  <c r="F11" i="6"/>
  <c r="H11" i="6"/>
  <c r="C245" i="5"/>
  <c r="C246" i="5"/>
  <c r="C247" i="5"/>
  <c r="C248" i="5"/>
  <c r="C217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C207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144" i="5"/>
  <c r="C151" i="5"/>
  <c r="C152" i="5"/>
  <c r="C153" i="5"/>
  <c r="C154" i="5"/>
  <c r="C155" i="5"/>
  <c r="C156" i="5"/>
  <c r="C157" i="5"/>
  <c r="C158" i="5"/>
  <c r="E135" i="5"/>
  <c r="E134" i="5"/>
  <c r="E129" i="5"/>
  <c r="E128" i="5"/>
  <c r="C111" i="5"/>
  <c r="C112" i="5"/>
  <c r="C113" i="5"/>
  <c r="C114" i="5"/>
  <c r="C115" i="5"/>
  <c r="C116" i="5"/>
  <c r="C117" i="5"/>
  <c r="C118" i="5"/>
  <c r="E95" i="5"/>
  <c r="F95" i="5"/>
  <c r="E94" i="5"/>
  <c r="F94" i="5"/>
  <c r="E93" i="5"/>
  <c r="F93" i="5"/>
  <c r="E92" i="5"/>
  <c r="F92" i="5"/>
  <c r="E90" i="5"/>
  <c r="F90" i="5"/>
  <c r="E89" i="5"/>
  <c r="F89" i="5"/>
  <c r="E88" i="5"/>
  <c r="F88" i="5"/>
  <c r="E87" i="5"/>
  <c r="F87" i="5"/>
  <c r="C41" i="5"/>
  <c r="D42" i="5"/>
  <c r="C42" i="5"/>
  <c r="D43" i="5"/>
  <c r="C43" i="5"/>
  <c r="D44" i="5"/>
  <c r="C44" i="5"/>
  <c r="D45" i="5"/>
  <c r="C45" i="5"/>
  <c r="D46" i="5"/>
  <c r="C46" i="5"/>
  <c r="D47" i="5"/>
  <c r="C47" i="5"/>
  <c r="D48" i="5"/>
  <c r="C48" i="5"/>
  <c r="D49" i="5"/>
  <c r="C49" i="5"/>
  <c r="D50" i="5"/>
  <c r="C50" i="5"/>
  <c r="D51" i="5"/>
  <c r="C51" i="5"/>
  <c r="D52" i="5"/>
  <c r="C52" i="5"/>
  <c r="D53" i="5"/>
  <c r="C53" i="5"/>
  <c r="D54" i="5"/>
  <c r="C54" i="5"/>
  <c r="D55" i="5"/>
  <c r="C55" i="5"/>
  <c r="D56" i="5"/>
  <c r="C56" i="5"/>
  <c r="D57" i="5"/>
  <c r="C57" i="5"/>
  <c r="D58" i="5"/>
  <c r="C58" i="5"/>
  <c r="D59" i="5"/>
  <c r="C59" i="5"/>
  <c r="D60" i="5"/>
  <c r="C60" i="5"/>
  <c r="D61" i="5"/>
  <c r="C61" i="5"/>
  <c r="D62" i="5"/>
  <c r="C62" i="5"/>
  <c r="D63" i="5"/>
  <c r="C63" i="5"/>
  <c r="D64" i="5"/>
  <c r="C64" i="5"/>
  <c r="D65" i="5"/>
  <c r="C65" i="5"/>
  <c r="D66" i="5"/>
  <c r="C66" i="5"/>
  <c r="D67" i="5"/>
  <c r="C67" i="5"/>
  <c r="D68" i="5"/>
  <c r="C68" i="5"/>
  <c r="D69" i="5"/>
  <c r="C69" i="5"/>
  <c r="D70" i="5"/>
  <c r="C70" i="5"/>
  <c r="D71" i="5"/>
  <c r="C71" i="5"/>
  <c r="D72" i="5"/>
  <c r="C72" i="5"/>
  <c r="D73" i="5"/>
  <c r="C73" i="5"/>
  <c r="D74" i="5"/>
  <c r="C74" i="5"/>
  <c r="D75" i="5"/>
  <c r="C75" i="5"/>
  <c r="D76" i="5"/>
  <c r="C76" i="5"/>
  <c r="D77" i="5"/>
  <c r="C77" i="5"/>
</calcChain>
</file>

<file path=xl/sharedStrings.xml><?xml version="1.0" encoding="utf-8"?>
<sst xmlns="http://schemas.openxmlformats.org/spreadsheetml/2006/main" count="1157" uniqueCount="499">
  <si>
    <t>General Notes</t>
    <phoneticPr fontId="5" type="noConversion"/>
  </si>
  <si>
    <r>
      <t>For binomial distributions the</t>
    </r>
    <r>
      <rPr>
        <sz val="10"/>
        <rFont val="Verdana"/>
      </rPr>
      <t xml:space="preserve"> "BINOM" function is used</t>
    </r>
  </si>
  <si>
    <t>pTIe: probability of a Type-I error</t>
    <phoneticPr fontId="5" type="noConversion"/>
  </si>
  <si>
    <r>
      <t xml:space="preserve">Use </t>
    </r>
    <r>
      <rPr>
        <sz val="10"/>
        <rFont val="Symbol"/>
      </rPr>
      <t>a</t>
    </r>
    <r>
      <rPr>
        <sz val="10"/>
        <rFont val="Verdana"/>
      </rPr>
      <t xml:space="preserve"> = .05 unless told otherwise</t>
    </r>
  </si>
  <si>
    <t>Problem 1</t>
    <phoneticPr fontId="5" type="noConversion"/>
  </si>
  <si>
    <t>Examples</t>
  </si>
  <si>
    <t>1. Decide to study a particular topic for an exam</t>
    <phoneticPr fontId="5" type="noConversion"/>
  </si>
  <si>
    <t>Type I: Don't study the topic and the exam does cover that topic</t>
    <phoneticPr fontId="5" type="noConversion"/>
  </si>
  <si>
    <t>Type II: Do study the topic and the exam doesn't cover that topic</t>
    <phoneticPr fontId="5" type="noConversion"/>
  </si>
  <si>
    <t>2. Decide whether or not to carry an umbrella on a given day</t>
    <phoneticPr fontId="5" type="noConversion"/>
  </si>
  <si>
    <t>Type I: Don't carry an umbrella and it rains</t>
    <phoneticPr fontId="5" type="noConversion"/>
  </si>
  <si>
    <t>Type II: Carry an umbrella and it doesn't rain</t>
    <phoneticPr fontId="5" type="noConversion"/>
  </si>
  <si>
    <t>3. Decide whether or not to eat a possibly contaminated can of tuna fish</t>
    <phoneticPr fontId="5" type="noConversion"/>
  </si>
  <si>
    <t>Type I: Eat the tuna and it's contaminated</t>
    <phoneticPr fontId="5" type="noConversion"/>
  </si>
  <si>
    <t>Type II: Don't eat the tuna and it's not contaminated</t>
    <phoneticPr fontId="5" type="noConversion"/>
  </si>
  <si>
    <t xml:space="preserve">4. Decide whether or not to bet your life savings on your team's winning a basketball game </t>
    <phoneticPr fontId="5" type="noConversion"/>
  </si>
  <si>
    <t>Type I: You make the bet and your team loses</t>
    <phoneticPr fontId="5" type="noConversion"/>
  </si>
  <si>
    <t>Type II: You don't make the bet and your team wins</t>
    <phoneticPr fontId="5" type="noConversion"/>
  </si>
  <si>
    <t>5. Decide whether or not to substantally exceed the speed limit on a seemingly deserted stretch of highway</t>
    <phoneticPr fontId="5" type="noConversion"/>
  </si>
  <si>
    <t>Type I: Exceed the speed limit and there is a cop waiting</t>
    <phoneticPr fontId="5" type="noConversion"/>
  </si>
  <si>
    <t>Type II: Don't exceed the speed limit and there is no cop</t>
    <phoneticPr fontId="5" type="noConversion"/>
  </si>
  <si>
    <t>Problem 2</t>
    <phoneticPr fontId="5" type="noConversion"/>
  </si>
  <si>
    <t>Information provided</t>
    <phoneticPr fontId="5" type="noConversion"/>
  </si>
  <si>
    <t xml:space="preserve"> = N = total number of subjects</t>
    <phoneticPr fontId="5" type="noConversion"/>
  </si>
  <si>
    <r>
      <t xml:space="preserve"> = p = probability of a success given H</t>
    </r>
    <r>
      <rPr>
        <vertAlign val="subscript"/>
        <sz val="10"/>
        <rFont val="Verdana"/>
      </rPr>
      <t>0</t>
    </r>
  </si>
  <si>
    <t xml:space="preserve"> = number of subjects slower in the alcohol condition</t>
    <phoneticPr fontId="5" type="noConversion"/>
  </si>
  <si>
    <t>a.</t>
    <phoneticPr fontId="5" type="noConversion"/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</si>
  <si>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>:</t>
    </r>
  </si>
  <si>
    <t>Alcohol does not affect reaction time</t>
    <phoneticPr fontId="5" type="noConversion"/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</si>
  <si>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>:</t>
    </r>
  </si>
  <si>
    <t>Alcohol slows reaction time</t>
    <phoneticPr fontId="5" type="noConversion"/>
  </si>
  <si>
    <r>
      <t xml:space="preserve"> </t>
    </r>
    <r>
      <rPr>
        <sz val="10"/>
        <rFont val="Symbol"/>
      </rPr>
      <t>a</t>
    </r>
    <r>
      <rPr>
        <sz val="10"/>
        <rFont val="Verdana"/>
      </rPr>
      <t xml:space="preserve"> = </t>
    </r>
  </si>
  <si>
    <t>v</t>
    <phoneticPr fontId="5" type="noConversion"/>
  </si>
  <si>
    <t>p(v)</t>
    <phoneticPr fontId="5" type="noConversion"/>
  </si>
  <si>
    <t>p(≥ v) = pTIe</t>
    <phoneticPr fontId="5" type="noConversion"/>
  </si>
  <si>
    <r>
      <t>pTIe</t>
    </r>
    <r>
      <rPr>
        <sz val="10"/>
        <rFont val="Verdana"/>
      </rPr>
      <t xml:space="preserve"> &gt; .05</t>
    </r>
  </si>
  <si>
    <r>
      <t xml:space="preserve">pTIe &lt; .05 means that 24 or more successes is the criterion for </t>
    </r>
    <r>
      <rPr>
        <sz val="10"/>
        <rFont val="Symbol"/>
      </rPr>
      <t>a</t>
    </r>
    <r>
      <rPr>
        <sz val="10"/>
        <rFont val="Verdana"/>
      </rPr>
      <t xml:space="preserve"> &lt; .05</t>
    </r>
  </si>
  <si>
    <t>c.</t>
    <phoneticPr fontId="5" type="noConversion"/>
  </si>
  <si>
    <t>Obtained number of successes = 26</t>
    <phoneticPr fontId="5" type="noConversion"/>
  </si>
  <si>
    <t>Criterion number of successes = 24 or higher</t>
    <phoneticPr fontId="5" type="noConversion"/>
  </si>
  <si>
    <r>
      <t>Obt successes &gt; Crit successes; therefore reject H</t>
    </r>
    <r>
      <rPr>
        <vertAlign val="subscript"/>
        <sz val="10"/>
        <rFont val="Verdana"/>
      </rPr>
      <t>0</t>
    </r>
  </si>
  <si>
    <t>Problem 3</t>
    <phoneticPr fontId="5" type="noConversion"/>
  </si>
  <si>
    <t>Data</t>
    <phoneticPr fontId="5" type="noConversion"/>
  </si>
  <si>
    <t>Game</t>
    <phoneticPr fontId="5" type="noConversion"/>
  </si>
  <si>
    <t>Daggers</t>
    <phoneticPr fontId="5" type="noConversion"/>
  </si>
  <si>
    <t>Barrons</t>
    <phoneticPr fontId="5" type="noConversion"/>
  </si>
  <si>
    <t>Difference</t>
    <phoneticPr fontId="5" type="noConversion"/>
  </si>
  <si>
    <t>Sign</t>
    <phoneticPr fontId="5" type="noConversion"/>
  </si>
  <si>
    <t>Hypothesis testing</t>
    <phoneticPr fontId="5" type="noConversion"/>
  </si>
  <si>
    <t>The Daggers and Barrons are of equal quality</t>
    <phoneticPr fontId="5" type="noConversion"/>
  </si>
  <si>
    <t>The Daggers are a better team than the Barrons</t>
    <phoneticPr fontId="5" type="noConversion"/>
  </si>
  <si>
    <t>Summary score: Number of plusses</t>
    <phoneticPr fontId="5" type="noConversion"/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</si>
  <si>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is true, number of plusses is binomially distributed with,</t>
    </r>
  </si>
  <si>
    <t xml:space="preserve">N = </t>
    <phoneticPr fontId="5" type="noConversion"/>
  </si>
  <si>
    <t xml:space="preserve">p = </t>
    <phoneticPr fontId="5" type="noConversion"/>
  </si>
  <si>
    <t>p(≥ v) = pTIe</t>
    <phoneticPr fontId="5" type="noConversion"/>
  </si>
  <si>
    <t>Obt successes =</t>
    <phoneticPr fontId="5" type="noConversion"/>
  </si>
  <si>
    <t>Criterion successes = 7</t>
    <phoneticPr fontId="5" type="noConversion"/>
  </si>
  <si>
    <r>
      <t>Reject H</t>
    </r>
    <r>
      <rPr>
        <vertAlign val="subscript"/>
        <sz val="10"/>
        <rFont val="Verdana"/>
      </rPr>
      <t>0</t>
    </r>
  </si>
  <si>
    <t>Problem 4</t>
    <phoneticPr fontId="5" type="noConversion"/>
  </si>
  <si>
    <t>Data</t>
    <phoneticPr fontId="5" type="noConversion"/>
  </si>
  <si>
    <t>Subject</t>
    <phoneticPr fontId="5" type="noConversion"/>
  </si>
  <si>
    <t>Rainy</t>
    <phoneticPr fontId="5" type="noConversion"/>
  </si>
  <si>
    <t>Sunny</t>
    <phoneticPr fontId="5" type="noConversion"/>
  </si>
  <si>
    <t>Sign</t>
    <phoneticPr fontId="5" type="noConversion"/>
  </si>
  <si>
    <t>+</t>
  </si>
  <si>
    <t>Hypothesis testing</t>
    <phoneticPr fontId="5" type="noConversion"/>
  </si>
  <si>
    <t>Rainy/sunny doesn't affect eating behavior</t>
    <phoneticPr fontId="5" type="noConversion"/>
  </si>
  <si>
    <t>More food is eaten on a rainy day compared to a sunny day</t>
    <phoneticPr fontId="5" type="noConversion"/>
  </si>
  <si>
    <t>Summary score: Number of plusses</t>
    <phoneticPr fontId="5" type="noConversion"/>
  </si>
  <si>
    <t xml:space="preserve">N = </t>
    <phoneticPr fontId="5" type="noConversion"/>
  </si>
  <si>
    <t xml:space="preserve">p = </t>
    <phoneticPr fontId="5" type="noConversion"/>
  </si>
  <si>
    <t>p(≥ v) = pTIe</t>
    <phoneticPr fontId="5" type="noConversion"/>
  </si>
  <si>
    <r>
      <t>pTIe</t>
    </r>
    <r>
      <rPr>
        <sz val="10"/>
        <rFont val="Verdana"/>
      </rPr>
      <t xml:space="preserve"> &gt; .01</t>
    </r>
  </si>
  <si>
    <r>
      <t xml:space="preserve">pTIe &lt; .01 means that 8  successes is the criterion for </t>
    </r>
    <r>
      <rPr>
        <sz val="10"/>
        <rFont val="Symbol"/>
      </rPr>
      <t>a</t>
    </r>
    <r>
      <rPr>
        <sz val="10"/>
        <rFont val="Verdana"/>
      </rPr>
      <t xml:space="preserve"> &lt; .01</t>
    </r>
  </si>
  <si>
    <t>Obt successes =</t>
    <phoneticPr fontId="5" type="noConversion"/>
  </si>
  <si>
    <t>Criterion value = 8 (or more)</t>
    <phoneticPr fontId="5" type="noConversion"/>
  </si>
  <si>
    <r>
      <t>Fail to reject H</t>
    </r>
    <r>
      <rPr>
        <vertAlign val="subscript"/>
        <sz val="10"/>
        <rFont val="Verdana"/>
      </rPr>
      <t>0</t>
    </r>
  </si>
  <si>
    <t>Problem 6</t>
    <phoneticPr fontId="5" type="noConversion"/>
  </si>
  <si>
    <t>Pair</t>
    <phoneticPr fontId="5" type="noConversion"/>
  </si>
  <si>
    <t>Low-SES</t>
    <phoneticPr fontId="5" type="noConversion"/>
  </si>
  <si>
    <t>High-SES</t>
    <phoneticPr fontId="5" type="noConversion"/>
  </si>
  <si>
    <t>Sign</t>
    <phoneticPr fontId="5" type="noConversion"/>
  </si>
  <si>
    <t>SES doesn't affect IQ</t>
    <phoneticPr fontId="5" type="noConversion"/>
  </si>
  <si>
    <t>Higher SES leads to higher IQ</t>
    <phoneticPr fontId="5" type="noConversion"/>
  </si>
  <si>
    <t>Summary score: Number of plusses</t>
    <phoneticPr fontId="5" type="noConversion"/>
  </si>
  <si>
    <t xml:space="preserve">N = </t>
    <phoneticPr fontId="5" type="noConversion"/>
  </si>
  <si>
    <t xml:space="preserve">p = </t>
    <phoneticPr fontId="5" type="noConversion"/>
  </si>
  <si>
    <t>v</t>
    <phoneticPr fontId="5" type="noConversion"/>
  </si>
  <si>
    <t>p(≥ v) = pTIe</t>
  </si>
  <si>
    <r>
      <t xml:space="preserve">pTIe &lt; .05 means that 10 or more successes is the criterion for </t>
    </r>
    <r>
      <rPr>
        <sz val="10"/>
        <rFont val="Symbol"/>
      </rPr>
      <t>a</t>
    </r>
    <r>
      <rPr>
        <sz val="10"/>
        <rFont val="Verdana"/>
      </rPr>
      <t xml:space="preserve"> &lt; .05</t>
    </r>
  </si>
  <si>
    <t>Crit successes =</t>
    <phoneticPr fontId="5" type="noConversion"/>
  </si>
  <si>
    <t>10 or more</t>
    <phoneticPr fontId="5" type="noConversion"/>
  </si>
  <si>
    <t>Problem 8</t>
    <phoneticPr fontId="5" type="noConversion"/>
  </si>
  <si>
    <t>Provided in problem</t>
    <phoneticPr fontId="5" type="noConversion"/>
  </si>
  <si>
    <t>v</t>
    <phoneticPr fontId="5" type="noConversion"/>
  </si>
  <si>
    <r>
      <t xml:space="preserve">Criterion for </t>
    </r>
    <r>
      <rPr>
        <sz val="10"/>
        <rFont val="Symbol"/>
      </rPr>
      <t>a</t>
    </r>
    <r>
      <rPr>
        <sz val="10"/>
        <rFont val="Verdana"/>
      </rPr>
      <t xml:space="preserve"> = .10 = </t>
    </r>
  </si>
  <si>
    <r>
      <rPr>
        <sz val="10"/>
        <rFont val="Verdana"/>
      </rPr>
      <t>9</t>
    </r>
    <r>
      <rPr>
        <sz val="10"/>
        <rFont val="Verdana"/>
      </rPr>
      <t xml:space="preserve"> or more</t>
    </r>
  </si>
  <si>
    <r>
      <t xml:space="preserve">Criterion for </t>
    </r>
    <r>
      <rPr>
        <sz val="10"/>
        <rFont val="Symbol"/>
      </rPr>
      <t>a</t>
    </r>
    <r>
      <rPr>
        <sz val="10"/>
        <rFont val="Verdana"/>
      </rPr>
      <t xml:space="preserve"> = .05 = </t>
    </r>
  </si>
  <si>
    <r>
      <rPr>
        <sz val="10"/>
        <rFont val="Verdana"/>
      </rPr>
      <t>10</t>
    </r>
    <r>
      <rPr>
        <sz val="10"/>
        <rFont val="Verdana"/>
      </rPr>
      <t xml:space="preserve"> or more</t>
    </r>
  </si>
  <si>
    <t>Problem 10</t>
    <phoneticPr fontId="5" type="noConversion"/>
  </si>
  <si>
    <t xml:space="preserve">N = </t>
    <phoneticPr fontId="5" type="noConversion"/>
  </si>
  <si>
    <t>p(≤ v) = pTIe</t>
    <phoneticPr fontId="5" type="noConversion"/>
  </si>
  <si>
    <t>Even if all 4 subjects get a "+", pTIe is greater than .05</t>
    <phoneticPr fontId="5" type="noConversion"/>
  </si>
  <si>
    <r>
      <t xml:space="preserve">So there is no criterion such that </t>
    </r>
    <r>
      <rPr>
        <sz val="10"/>
        <rFont val="Symbol"/>
      </rPr>
      <t>a</t>
    </r>
    <r>
      <rPr>
        <sz val="10"/>
        <rFont val="Verdana"/>
      </rPr>
      <t xml:space="preserve"> &lt; .05</t>
    </r>
  </si>
  <si>
    <r>
      <t xml:space="preserve"> = </t>
    </r>
    <r>
      <rPr>
        <sz val="10"/>
        <rFont val="Symbol"/>
      </rPr>
      <t>m</t>
    </r>
  </si>
  <si>
    <t xml:space="preserve"> ∞ </t>
  </si>
  <si>
    <r>
      <t xml:space="preserve"> = </t>
    </r>
    <r>
      <rPr>
        <sz val="10"/>
        <rFont val="Symbol"/>
      </rPr>
      <t xml:space="preserve">s </t>
    </r>
  </si>
  <si>
    <t>a.</t>
    <phoneticPr fontId="5" type="noConversion"/>
  </si>
  <si>
    <r>
      <t>x</t>
    </r>
    <r>
      <rPr>
        <vertAlign val="subscript"/>
        <sz val="10"/>
        <rFont val="Verdana"/>
      </rPr>
      <t>1</t>
    </r>
  </si>
  <si>
    <r>
      <t>x</t>
    </r>
    <r>
      <rPr>
        <vertAlign val="subscript"/>
        <sz val="10"/>
        <rFont val="Verdana"/>
      </rPr>
      <t>2</t>
    </r>
  </si>
  <si>
    <r>
      <t>z</t>
    </r>
    <r>
      <rPr>
        <vertAlign val="subscript"/>
        <sz val="10"/>
        <rFont val="Verdana"/>
      </rPr>
      <t>1</t>
    </r>
  </si>
  <si>
    <r>
      <t>z</t>
    </r>
    <r>
      <rPr>
        <vertAlign val="subscript"/>
        <sz val="10"/>
        <rFont val="Verdana"/>
      </rPr>
      <t>2</t>
    </r>
  </si>
  <si>
    <r>
      <t>F(z</t>
    </r>
    <r>
      <rPr>
        <vertAlign val="subscript"/>
        <sz val="10"/>
        <rFont val="Verdana"/>
      </rPr>
      <t>1</t>
    </r>
    <r>
      <rPr>
        <sz val="10"/>
        <rFont val="Verdana"/>
      </rPr>
      <t>)</t>
    </r>
  </si>
  <si>
    <r>
      <t>F(z</t>
    </r>
    <r>
      <rPr>
        <vertAlign val="subscript"/>
        <sz val="10"/>
        <rFont val="Verdana"/>
      </rPr>
      <t>2</t>
    </r>
    <r>
      <rPr>
        <sz val="10"/>
        <rFont val="Verdana"/>
      </rPr>
      <t>)</t>
    </r>
  </si>
  <si>
    <r>
      <t>p=F(z</t>
    </r>
    <r>
      <rPr>
        <vertAlign val="subscript"/>
        <sz val="10"/>
        <rFont val="Verdana"/>
      </rPr>
      <t>2</t>
    </r>
    <r>
      <rPr>
        <sz val="10"/>
        <rFont val="Verdana"/>
      </rPr>
      <t>)-F(z</t>
    </r>
    <r>
      <rPr>
        <vertAlign val="subscript"/>
        <sz val="10"/>
        <rFont val="Verdana"/>
      </rPr>
      <t>1</t>
    </r>
    <r>
      <rPr>
        <sz val="10"/>
        <rFont val="Verdana"/>
      </rPr>
      <t>)</t>
    </r>
  </si>
  <si>
    <t>b.</t>
    <phoneticPr fontId="5" type="noConversion"/>
  </si>
  <si>
    <t>c.</t>
    <phoneticPr fontId="5" type="noConversion"/>
  </si>
  <si>
    <t xml:space="preserve">-∞ </t>
    <phoneticPr fontId="5" type="noConversion"/>
  </si>
  <si>
    <t>d.</t>
    <phoneticPr fontId="5" type="noConversion"/>
  </si>
  <si>
    <t>e.</t>
    <phoneticPr fontId="5" type="noConversion"/>
  </si>
  <si>
    <t>f.</t>
    <phoneticPr fontId="5" type="noConversion"/>
  </si>
  <si>
    <t>g.</t>
    <phoneticPr fontId="5" type="noConversion"/>
  </si>
  <si>
    <t>h.</t>
    <phoneticPr fontId="5" type="noConversion"/>
  </si>
  <si>
    <t xml:space="preserve"> ∞</t>
  </si>
  <si>
    <t>i.</t>
    <phoneticPr fontId="5" type="noConversion"/>
  </si>
  <si>
    <t>Problem 2</t>
    <phoneticPr fontId="5" type="noConversion"/>
  </si>
  <si>
    <t>Information provided</t>
    <phoneticPr fontId="5" type="noConversion"/>
  </si>
  <si>
    <r>
      <t xml:space="preserve"> = </t>
    </r>
    <r>
      <rPr>
        <sz val="10"/>
        <rFont val="Symbol"/>
      </rPr>
      <t>m</t>
    </r>
    <r>
      <rPr>
        <sz val="10"/>
        <rFont val="Verdana"/>
      </rPr>
      <t xml:space="preserve"> </t>
    </r>
  </si>
  <si>
    <r>
      <t xml:space="preserve"> = </t>
    </r>
    <r>
      <rPr>
        <sz val="10"/>
        <rFont val="Symbol"/>
      </rPr>
      <t>s</t>
    </r>
    <r>
      <rPr>
        <sz val="10"/>
        <rFont val="Verdana"/>
      </rPr>
      <t xml:space="preserve"> </t>
    </r>
  </si>
  <si>
    <t>-∞</t>
    <phoneticPr fontId="5" type="noConversion"/>
  </si>
  <si>
    <t>d.</t>
    <phoneticPr fontId="5" type="noConversion"/>
  </si>
  <si>
    <t>e.</t>
    <phoneticPr fontId="5" type="noConversion"/>
  </si>
  <si>
    <t>Problem 3</t>
    <phoneticPr fontId="5" type="noConversion"/>
  </si>
  <si>
    <t>Information provided</t>
    <phoneticPr fontId="5" type="noConversion"/>
  </si>
  <si>
    <r>
      <t xml:space="preserve"> = </t>
    </r>
    <r>
      <rPr>
        <sz val="10"/>
        <rFont val="Symbol"/>
      </rPr>
      <t>s</t>
    </r>
    <r>
      <rPr>
        <vertAlign val="superscript"/>
        <sz val="10"/>
        <rFont val="Verdana"/>
      </rPr>
      <t>2</t>
    </r>
  </si>
  <si>
    <r>
      <t xml:space="preserve"> = </t>
    </r>
    <r>
      <rPr>
        <sz val="10"/>
        <rFont val="Symbol"/>
      </rPr>
      <t>s</t>
    </r>
  </si>
  <si>
    <t>Problem 4</t>
    <phoneticPr fontId="5" type="noConversion"/>
  </si>
  <si>
    <t>Problem 5</t>
    <phoneticPr fontId="5" type="noConversion"/>
  </si>
  <si>
    <t>Problem 6</t>
    <phoneticPr fontId="5" type="noConversion"/>
  </si>
  <si>
    <t>Problem 7</t>
    <phoneticPr fontId="5" type="noConversion"/>
  </si>
  <si>
    <t>Problem 10</t>
    <phoneticPr fontId="5" type="noConversion"/>
  </si>
  <si>
    <t xml:space="preserve"> = p(rag doll)</t>
    <phoneticPr fontId="5" type="noConversion"/>
  </si>
  <si>
    <t xml:space="preserve"> = p(medallion)</t>
    <phoneticPr fontId="5" type="noConversion"/>
  </si>
  <si>
    <t xml:space="preserve"> = p(nothing)</t>
    <phoneticPr fontId="5" type="noConversion"/>
  </si>
  <si>
    <t xml:space="preserve"> = N</t>
    <phoneticPr fontId="5" type="noConversion"/>
  </si>
  <si>
    <t>Using binomial distribution</t>
    <phoneticPr fontId="5" type="noConversion"/>
  </si>
  <si>
    <t>v</t>
    <phoneticPr fontId="5" type="noConversion"/>
  </si>
  <si>
    <t xml:space="preserve">p(5≤R≤7) = </t>
    <phoneticPr fontId="5" type="noConversion"/>
  </si>
  <si>
    <t>b.</t>
    <phoneticPr fontId="5" type="noConversion"/>
  </si>
  <si>
    <t>Using normal approximation without correction for continuity</t>
    <phoneticPr fontId="5" type="noConversion"/>
  </si>
  <si>
    <t>Using normal approximation with correction for continuity</t>
    <phoneticPr fontId="5" type="noConversion"/>
  </si>
  <si>
    <t>using binomial</t>
    <phoneticPr fontId="5" type="noConversion"/>
  </si>
  <si>
    <t xml:space="preserve">p(R=15) = </t>
    <phoneticPr fontId="5" type="noConversion"/>
  </si>
  <si>
    <t xml:space="preserve"> = p</t>
    <phoneticPr fontId="5" type="noConversion"/>
  </si>
  <si>
    <t>Problem 11</t>
    <phoneticPr fontId="5" type="noConversion"/>
  </si>
  <si>
    <t>Problem 20</t>
    <phoneticPr fontId="5" type="noConversion"/>
  </si>
  <si>
    <t>pounds</t>
    <phoneticPr fontId="5" type="noConversion"/>
  </si>
  <si>
    <t>a.</t>
    <phoneticPr fontId="5" type="noConversion"/>
  </si>
  <si>
    <t>For each string, calculate probability that it will break, i.e., probability that the string exceeds its breaking tension</t>
    <phoneticPr fontId="5" type="noConversion"/>
  </si>
  <si>
    <r>
      <t>F(z</t>
    </r>
    <r>
      <rPr>
        <vertAlign val="subscript"/>
        <sz val="10"/>
        <rFont val="Verdana"/>
      </rPr>
      <t>2</t>
    </r>
    <r>
      <rPr>
        <sz val="10"/>
        <rFont val="Verdana"/>
      </rPr>
      <t>)-F(z</t>
    </r>
    <r>
      <rPr>
        <vertAlign val="subscript"/>
        <sz val="10"/>
        <rFont val="Verdana"/>
      </rPr>
      <t>1</t>
    </r>
    <r>
      <rPr>
        <sz val="10"/>
        <rFont val="Verdana"/>
      </rPr>
      <t>) = probability that string will break</t>
    </r>
  </si>
  <si>
    <t>String 1</t>
    <phoneticPr fontId="5" type="noConversion"/>
  </si>
  <si>
    <t>String 2</t>
    <phoneticPr fontId="5" type="noConversion"/>
  </si>
  <si>
    <t>String 3</t>
  </si>
  <si>
    <t>String 4</t>
  </si>
  <si>
    <t>String 5</t>
  </si>
  <si>
    <t>b.</t>
    <phoneticPr fontId="5" type="noConversion"/>
  </si>
  <si>
    <t>Probability of String i not breaking</t>
    <phoneticPr fontId="5" type="noConversion"/>
  </si>
  <si>
    <t xml:space="preserve">String 1: </t>
    <phoneticPr fontId="5" type="noConversion"/>
  </si>
  <si>
    <t xml:space="preserve">String 2: </t>
    <phoneticPr fontId="5" type="noConversion"/>
  </si>
  <si>
    <t xml:space="preserve">String 3: </t>
    <phoneticPr fontId="5" type="noConversion"/>
  </si>
  <si>
    <t xml:space="preserve">String 4: </t>
    <phoneticPr fontId="5" type="noConversion"/>
  </si>
  <si>
    <t xml:space="preserve">String 5: </t>
    <phoneticPr fontId="5" type="noConversion"/>
  </si>
  <si>
    <t xml:space="preserve"> = probability of no string breaking</t>
    <phoneticPr fontId="5" type="noConversion"/>
  </si>
  <si>
    <t xml:space="preserve"> = probability of at least one string breaking</t>
    <phoneticPr fontId="5" type="noConversion"/>
  </si>
  <si>
    <t>c.</t>
    <phoneticPr fontId="5" type="noConversion"/>
  </si>
  <si>
    <t xml:space="preserve"> = probability that all strings will break</t>
    <phoneticPr fontId="5" type="noConversion"/>
  </si>
  <si>
    <t>Problem 21</t>
    <phoneticPr fontId="5" type="noConversion"/>
  </si>
  <si>
    <t xml:space="preserve"> = Gail's probability of being correct on each question</t>
    <phoneticPr fontId="5" type="noConversion"/>
  </si>
  <si>
    <t>Problem 1</t>
    <phoneticPr fontId="12" type="noConversion"/>
  </si>
  <si>
    <t xml:space="preserve">m = </t>
  </si>
  <si>
    <r>
      <t>s</t>
    </r>
    <r>
      <rPr>
        <vertAlign val="superscript"/>
        <sz val="10"/>
        <rFont val="Symbol"/>
      </rPr>
      <t>2</t>
    </r>
    <r>
      <rPr>
        <sz val="10"/>
        <rFont val="Symbol"/>
      </rPr>
      <t xml:space="preserve"> = </t>
    </r>
  </si>
  <si>
    <t xml:space="preserve">s = </t>
  </si>
  <si>
    <t>Sample size</t>
  </si>
  <si>
    <r>
      <t>s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M</t>
    </r>
  </si>
  <si>
    <r>
      <t>s</t>
    </r>
    <r>
      <rPr>
        <vertAlign val="subscript"/>
        <sz val="10"/>
        <rFont val="Verdana"/>
      </rPr>
      <t>M</t>
    </r>
  </si>
  <si>
    <t>a.</t>
    <phoneticPr fontId="12" type="noConversion"/>
  </si>
  <si>
    <t xml:space="preserve">∞ </t>
  </si>
  <si>
    <t>b.</t>
    <phoneticPr fontId="12" type="noConversion"/>
  </si>
  <si>
    <t>c.</t>
    <phoneticPr fontId="12" type="noConversion"/>
  </si>
  <si>
    <t xml:space="preserve">∞ </t>
    <phoneticPr fontId="12" type="noConversion"/>
  </si>
  <si>
    <t>d.</t>
    <phoneticPr fontId="12" type="noConversion"/>
  </si>
  <si>
    <t xml:space="preserve">-∞ </t>
    <phoneticPr fontId="12" type="noConversion"/>
  </si>
  <si>
    <t>e.</t>
    <phoneticPr fontId="12" type="noConversion"/>
  </si>
  <si>
    <t>f.</t>
    <phoneticPr fontId="12" type="noConversion"/>
  </si>
  <si>
    <t>Problem 2</t>
    <phoneticPr fontId="12" type="noConversion"/>
  </si>
  <si>
    <t>Information provided</t>
    <phoneticPr fontId="12" type="noConversion"/>
  </si>
  <si>
    <r>
      <t>m</t>
    </r>
    <r>
      <rPr>
        <sz val="10"/>
        <rFont val="Verdana"/>
      </rPr>
      <t xml:space="preserve"> = </t>
    </r>
  </si>
  <si>
    <r>
      <t>s</t>
    </r>
    <r>
      <rPr>
        <vertAlign val="superscript"/>
        <sz val="10"/>
        <rFont val="Verdana"/>
      </rPr>
      <t xml:space="preserve">2 = </t>
    </r>
  </si>
  <si>
    <r>
      <t>s</t>
    </r>
    <r>
      <rPr>
        <sz val="10"/>
        <rFont val="Verdana"/>
      </rPr>
      <t xml:space="preserve"> = </t>
    </r>
  </si>
  <si>
    <t xml:space="preserve">N = </t>
    <phoneticPr fontId="12" type="noConversion"/>
  </si>
  <si>
    <t>Sample size</t>
    <phoneticPr fontId="12" type="noConversion"/>
  </si>
  <si>
    <t>Problem 3</t>
    <phoneticPr fontId="12" type="noConversion"/>
  </si>
  <si>
    <t>Data</t>
    <phoneticPr fontId="12" type="noConversion"/>
  </si>
  <si>
    <t>Texas Sheriff</t>
    <phoneticPr fontId="12" type="noConversion"/>
  </si>
  <si>
    <t>Weight (lbs)</t>
    <phoneticPr fontId="12" type="noConversion"/>
  </si>
  <si>
    <t>Hypothesis testing</t>
    <phoneticPr fontId="12" type="noConversion"/>
  </si>
  <si>
    <t xml:space="preserve">n = </t>
    <phoneticPr fontId="12" type="noConversion"/>
  </si>
  <si>
    <r>
      <t>Summary Score: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 mean of Texas sheriff sample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</si>
  <si>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is distributed with</t>
    </r>
  </si>
  <si>
    <r>
      <t>s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</si>
  <si>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r>
      <t>a</t>
    </r>
    <r>
      <rPr>
        <sz val="10"/>
        <rFont val="Verdana"/>
      </rPr>
      <t xml:space="preserve"> = </t>
    </r>
  </si>
  <si>
    <t>Crit z =</t>
  </si>
  <si>
    <t>NOTE: One-tailed test for directional alternative hypothesis</t>
    <phoneticPr fontId="12" type="noConversion"/>
  </si>
  <si>
    <r>
      <t>Crit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 </t>
    </r>
  </si>
  <si>
    <r>
      <t>NOTE: To be more extreme than criterion,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must be </t>
    </r>
    <r>
      <rPr>
        <i/>
        <sz val="10"/>
        <rFont val="Verdana"/>
      </rPr>
      <t>less than</t>
    </r>
    <r>
      <rPr>
        <sz val="10"/>
        <rFont val="Verdana"/>
      </rPr>
      <t xml:space="preserve"> 226.738</t>
    </r>
  </si>
  <si>
    <t>Problem 4</t>
    <phoneticPr fontId="12" type="noConversion"/>
  </si>
  <si>
    <t>NOTE: Two-tailed test for nondirectional alternative hypothesis</t>
    <phoneticPr fontId="12" type="noConversion"/>
  </si>
  <si>
    <t>Problem 5</t>
    <phoneticPr fontId="12" type="noConversion"/>
  </si>
  <si>
    <t xml:space="preserve">Crit z = </t>
    <phoneticPr fontId="12" type="noConversion"/>
  </si>
  <si>
    <t>NOTE: Two-tailed test for nondirectional alternative hypothesis</t>
    <phoneticPr fontId="12" type="noConversion"/>
  </si>
  <si>
    <t>Problem 6</t>
    <phoneticPr fontId="12" type="noConversion"/>
  </si>
  <si>
    <t>NOTE: One-tailed test for nondirectional alternative hypothesis</t>
    <phoneticPr fontId="12" type="noConversion"/>
  </si>
  <si>
    <t>Problem 7</t>
    <phoneticPr fontId="12" type="noConversion"/>
  </si>
  <si>
    <t>Dr. A</t>
    <phoneticPr fontId="12" type="noConversion"/>
  </si>
  <si>
    <t>Dr. B</t>
    <phoneticPr fontId="12" type="noConversion"/>
  </si>
  <si>
    <t>a, b.</t>
    <phoneticPr fontId="12" type="noConversion"/>
  </si>
  <si>
    <t>Hypothesis testing: Dr. A</t>
    <phoneticPr fontId="12" type="noConversion"/>
  </si>
  <si>
    <t>Hypothesis testing: Dr. B</t>
    <phoneticPr fontId="12" type="noConversion"/>
  </si>
  <si>
    <t>Hypothesis testing: Difference</t>
    <phoneticPr fontId="12" type="noConversion"/>
  </si>
  <si>
    <t>95% Confidence Intervals:</t>
  </si>
  <si>
    <t xml:space="preserve">Dr. A: </t>
    <phoneticPr fontId="12" type="noConversion"/>
  </si>
  <si>
    <t xml:space="preserve">Dr. B: </t>
    <phoneticPr fontId="12" type="noConversion"/>
  </si>
  <si>
    <t xml:space="preserve">% confidence = </t>
    <phoneticPr fontId="12" type="noConversion"/>
  </si>
  <si>
    <t xml:space="preserve">criterion z = </t>
    <phoneticPr fontId="12" type="noConversion"/>
  </si>
  <si>
    <t>CI magnitude: ±</t>
    <phoneticPr fontId="12" type="noConversion"/>
  </si>
  <si>
    <t>CI magnitude: ±</t>
    <phoneticPr fontId="12" type="noConversion"/>
  </si>
  <si>
    <t>High CI value</t>
    <phoneticPr fontId="12" type="noConversion"/>
  </si>
  <si>
    <t>Low CI value</t>
    <phoneticPr fontId="12" type="noConversion"/>
  </si>
  <si>
    <t>Mean difference</t>
    <phoneticPr fontId="12" type="noConversion"/>
  </si>
  <si>
    <t>Problem 8</t>
    <phoneticPr fontId="12" type="noConversion"/>
  </si>
  <si>
    <r>
      <t>n</t>
    </r>
    <r>
      <rPr>
        <vertAlign val="subscript"/>
        <sz val="10"/>
        <rFont val="Verdana"/>
      </rPr>
      <t>J</t>
    </r>
    <r>
      <rPr>
        <sz val="10"/>
        <rFont val="Verdana"/>
      </rPr>
      <t>:</t>
    </r>
  </si>
  <si>
    <t>UW</t>
    <phoneticPr fontId="12" type="noConversion"/>
  </si>
  <si>
    <t>Harvard</t>
    <phoneticPr fontId="12" type="noConversion"/>
  </si>
  <si>
    <r>
      <t>M</t>
    </r>
    <r>
      <rPr>
        <vertAlign val="subscript"/>
        <sz val="10"/>
        <rFont val="Verdana"/>
      </rPr>
      <t>J</t>
    </r>
    <r>
      <rPr>
        <sz val="10"/>
        <rFont val="Verdana"/>
      </rPr>
      <t>:</t>
    </r>
  </si>
  <si>
    <t>95% Confidence Interval (not assigned, but good practice)</t>
    <phoneticPr fontId="12" type="noConversion"/>
  </si>
  <si>
    <r>
      <t>n</t>
    </r>
    <r>
      <rPr>
        <vertAlign val="subscript"/>
        <sz val="10"/>
        <color rgb="FFFF0000"/>
        <rFont val="Verdana"/>
      </rPr>
      <t>H</t>
    </r>
    <r>
      <rPr>
        <sz val="10"/>
        <color rgb="FFFF0000"/>
        <rFont val="Verdana"/>
      </rPr>
      <t xml:space="preserve"> = </t>
    </r>
  </si>
  <si>
    <t>Problem 10</t>
    <phoneticPr fontId="12" type="noConversion"/>
  </si>
  <si>
    <r>
      <t>s</t>
    </r>
    <r>
      <rPr>
        <sz val="10"/>
        <color rgb="FFFF0000"/>
        <rFont val="Verdana"/>
      </rPr>
      <t xml:space="preserve"> = </t>
    </r>
  </si>
  <si>
    <t>PB</t>
    <phoneticPr fontId="12" type="noConversion"/>
  </si>
  <si>
    <t>Jelly</t>
    <phoneticPr fontId="12" type="noConversion"/>
  </si>
  <si>
    <t>Peanut Butter</t>
    <phoneticPr fontId="12" type="noConversion"/>
  </si>
  <si>
    <t>Problem 12</t>
    <phoneticPr fontId="12" type="noConversion"/>
  </si>
  <si>
    <t>MiracuGrow</t>
    <phoneticPr fontId="12" type="noConversion"/>
  </si>
  <si>
    <t>AmazoFood</t>
    <phoneticPr fontId="12" type="noConversion"/>
  </si>
  <si>
    <t>Problem 15</t>
    <phoneticPr fontId="12" type="noConversion"/>
  </si>
  <si>
    <t>Sample size: n =</t>
    <phoneticPr fontId="12" type="noConversion"/>
  </si>
  <si>
    <t>∞</t>
    <phoneticPr fontId="12" type="noConversion"/>
  </si>
  <si>
    <t>c.</t>
    <phoneticPr fontId="12" type="noConversion"/>
  </si>
  <si>
    <t>-∞</t>
    <phoneticPr fontId="12" type="noConversion"/>
  </si>
  <si>
    <t>Problem 16</t>
    <phoneticPr fontId="12" type="noConversion"/>
  </si>
  <si>
    <t>Note</t>
    <phoneticPr fontId="12" type="noConversion"/>
  </si>
  <si>
    <t>Comparisons are done with the variance as well as the standard deviation</t>
    <phoneticPr fontId="12" type="noConversion"/>
  </si>
  <si>
    <t>Scores:</t>
    <phoneticPr fontId="12" type="noConversion"/>
  </si>
  <si>
    <t>a.</t>
    <phoneticPr fontId="12" type="noConversion"/>
  </si>
  <si>
    <t xml:space="preserve">M: </t>
    <phoneticPr fontId="12" type="noConversion"/>
  </si>
  <si>
    <t xml:space="preserve">S: </t>
    <phoneticPr fontId="12" type="noConversion"/>
  </si>
  <si>
    <t>b, c.</t>
    <phoneticPr fontId="12" type="noConversion"/>
  </si>
  <si>
    <t>Samples</t>
    <phoneticPr fontId="12" type="noConversion"/>
  </si>
  <si>
    <t>Means</t>
    <phoneticPr fontId="12" type="noConversion"/>
  </si>
  <si>
    <t>d.</t>
    <phoneticPr fontId="12" type="noConversion"/>
  </si>
  <si>
    <t>e.</t>
    <phoneticPr fontId="12" type="noConversion"/>
  </si>
  <si>
    <t>which is the square root of 2</t>
    <phoneticPr fontId="12" type="noConversion"/>
  </si>
  <si>
    <r>
      <t>F(z</t>
    </r>
    <r>
      <rPr>
        <vertAlign val="subscript"/>
        <sz val="10"/>
        <rFont val="Verdana"/>
      </rPr>
      <t>1</t>
    </r>
    <r>
      <rPr>
        <sz val="10"/>
        <rFont val="Verdana"/>
      </rPr>
      <t>)</t>
    </r>
  </si>
  <si>
    <r>
      <t>F(z</t>
    </r>
    <r>
      <rPr>
        <vertAlign val="subscript"/>
        <sz val="10"/>
        <rFont val="Verdana"/>
      </rPr>
      <t>2</t>
    </r>
    <r>
      <rPr>
        <sz val="10"/>
        <rFont val="Verdana"/>
      </rPr>
      <t>)</t>
    </r>
  </si>
  <si>
    <r>
      <t>p=F(z</t>
    </r>
    <r>
      <rPr>
        <vertAlign val="subscript"/>
        <sz val="10"/>
        <rFont val="Verdana"/>
      </rPr>
      <t>2</t>
    </r>
    <r>
      <rPr>
        <sz val="10"/>
        <rFont val="Verdana"/>
      </rPr>
      <t>)-F(z</t>
    </r>
    <r>
      <rPr>
        <vertAlign val="subscript"/>
        <sz val="10"/>
        <rFont val="Verdana"/>
      </rPr>
      <t>1</t>
    </r>
    <r>
      <rPr>
        <sz val="10"/>
        <rFont val="Verdana"/>
      </rPr>
      <t>)</t>
    </r>
  </si>
  <si>
    <r>
      <t>m</t>
    </r>
    <r>
      <rPr>
        <sz val="10"/>
        <rFont val="Verdana"/>
      </rPr>
      <t xml:space="preserve"> = </t>
    </r>
  </si>
  <si>
    <r>
      <t>s</t>
    </r>
    <r>
      <rPr>
        <sz val="10"/>
        <rFont val="Verdana"/>
      </rPr>
      <t xml:space="preserve"> = </t>
    </r>
  </si>
  <si>
    <r>
      <t>Information provided:</t>
    </r>
    <r>
      <rPr>
        <sz val="10"/>
        <rFont val="Verdana"/>
      </rPr>
      <t xml:space="preserve"> For Mississippi Sheriffs, weights are distributed with</t>
    </r>
  </si>
  <si>
    <r>
      <t>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 </t>
    </r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</si>
  <si>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>:</t>
    </r>
  </si>
  <si>
    <r>
      <t>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 250</t>
    </r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</si>
  <si>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>:</t>
    </r>
  </si>
  <si>
    <r>
      <t>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&lt; 250</t>
    </r>
  </si>
  <si>
    <r>
      <t>Summary Score: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 mean of Texas sheriff sample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</si>
  <si>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is distributed with</t>
    </r>
  </si>
  <si>
    <r>
      <t>s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</si>
  <si>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r>
      <t>a</t>
    </r>
    <r>
      <rPr>
        <sz val="10"/>
        <rFont val="Verdana"/>
      </rPr>
      <t xml:space="preserve"> = </t>
    </r>
  </si>
  <si>
    <r>
      <t>Crit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 </t>
    </r>
  </si>
  <si>
    <r>
      <t>NOTE: To be more extreme than criterion,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must be </t>
    </r>
    <r>
      <rPr>
        <i/>
        <sz val="10"/>
        <rFont val="Verdana"/>
      </rPr>
      <t>less than</t>
    </r>
    <r>
      <rPr>
        <sz val="10"/>
        <rFont val="Verdana"/>
      </rPr>
      <t xml:space="preserve"> 226.738</t>
    </r>
  </si>
  <si>
    <r>
      <t>Obtained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 </t>
    </r>
  </si>
  <si>
    <r>
      <t>Obtained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not as extreme as Criterion M</t>
    </r>
    <r>
      <rPr>
        <vertAlign val="subscript"/>
        <sz val="10"/>
        <rFont val="Verdana"/>
      </rPr>
      <t>T</t>
    </r>
    <r>
      <rPr>
        <sz val="10"/>
        <rFont val="Verdana"/>
      </rPr>
      <t>; fail to reject H</t>
    </r>
    <r>
      <rPr>
        <vertAlign val="subscript"/>
        <sz val="10"/>
        <rFont val="Verdana"/>
      </rPr>
      <t>0</t>
    </r>
  </si>
  <si>
    <r>
      <t>Information provided:</t>
    </r>
    <r>
      <rPr>
        <sz val="10"/>
        <rFont val="Verdana"/>
      </rPr>
      <t xml:space="preserve"> Breaking strengths claimed to be distributed with...</t>
    </r>
  </si>
  <si>
    <r>
      <t>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</si>
  <si>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65</t>
    </r>
  </si>
  <si>
    <r>
      <t>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≠ 65</t>
    </r>
  </si>
  <si>
    <r>
      <t>Summary Score: 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mean of breaking-strength sample</t>
    </r>
  </si>
  <si>
    <r>
      <t>High Crit 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</t>
    </r>
  </si>
  <si>
    <r>
      <t>Low Crit 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</t>
    </r>
  </si>
  <si>
    <r>
      <t>Obtained 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</t>
    </r>
  </si>
  <si>
    <r>
      <t>Obtained 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lower than lower criterion M</t>
    </r>
    <r>
      <rPr>
        <vertAlign val="subscript"/>
        <sz val="10"/>
        <rFont val="Verdana"/>
      </rPr>
      <t>B</t>
    </r>
    <r>
      <rPr>
        <sz val="10"/>
        <rFont val="Verdana"/>
      </rPr>
      <t>; reject H</t>
    </r>
    <r>
      <rPr>
        <vertAlign val="subscript"/>
        <sz val="10"/>
        <rFont val="Verdana"/>
      </rPr>
      <t>0</t>
    </r>
  </si>
  <si>
    <r>
      <t>Information provided:</t>
    </r>
    <r>
      <rPr>
        <sz val="10"/>
        <rFont val="Verdana"/>
      </rPr>
      <t xml:space="preserve"> Armed-robber sentences are distributed with...</t>
    </r>
  </si>
  <si>
    <r>
      <t>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</si>
  <si>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7.0</t>
    </r>
  </si>
  <si>
    <r>
      <t>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≠ 7.0</t>
    </r>
  </si>
  <si>
    <r>
      <t>Summary Score: 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mean of rapist sample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</si>
  <si>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is distributed with</t>
    </r>
  </si>
  <si>
    <r>
      <t>High Crit 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</t>
    </r>
  </si>
  <si>
    <r>
      <t>Low Crit 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</t>
    </r>
  </si>
  <si>
    <r>
      <t>Obtained 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</t>
    </r>
  </si>
  <si>
    <r>
      <t>Obtained 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is less than lower criterion M</t>
    </r>
    <r>
      <rPr>
        <vertAlign val="subscript"/>
        <sz val="10"/>
        <rFont val="Verdana"/>
      </rPr>
      <t>R:</t>
    </r>
    <r>
      <rPr>
        <sz val="10"/>
        <rFont val="Verdana"/>
      </rPr>
      <t xml:space="preserve"> reject H</t>
    </r>
    <r>
      <rPr>
        <vertAlign val="subscript"/>
        <sz val="10"/>
        <rFont val="Verdana"/>
      </rPr>
      <t>0</t>
    </r>
  </si>
  <si>
    <r>
      <t>Information provided:</t>
    </r>
    <r>
      <rPr>
        <sz val="10"/>
        <rFont val="Verdana"/>
      </rPr>
      <t xml:space="preserve"> Flight times are distributed with...</t>
    </r>
  </si>
  <si>
    <r>
      <t>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</si>
  <si>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5.1</t>
    </r>
  </si>
  <si>
    <r>
      <t>m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&lt; 5.1</t>
    </r>
  </si>
  <si>
    <r>
      <t>Summary Score: 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mean of Jupiter sample</t>
    </r>
  </si>
  <si>
    <r>
      <t>Crit 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</si>
  <si>
    <r>
      <t>NOTE: To be more extreme than criterion,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must be </t>
    </r>
    <r>
      <rPr>
        <i/>
        <sz val="10"/>
        <rFont val="Verdana"/>
      </rPr>
      <t>less than</t>
    </r>
    <r>
      <rPr>
        <sz val="10"/>
        <rFont val="Verdana"/>
      </rPr>
      <t xml:space="preserve"> 4.616</t>
    </r>
  </si>
  <si>
    <r>
      <t>Obtained 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</si>
  <si>
    <r>
      <t>Obtained 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is less than criterion M</t>
    </r>
    <r>
      <rPr>
        <vertAlign val="subscript"/>
        <sz val="10"/>
        <rFont val="Verdana"/>
      </rPr>
      <t>J</t>
    </r>
    <r>
      <rPr>
        <sz val="10"/>
        <rFont val="Verdana"/>
      </rPr>
      <t>; reject H</t>
    </r>
    <r>
      <rPr>
        <vertAlign val="subscript"/>
        <sz val="10"/>
        <rFont val="Verdana"/>
      </rPr>
      <t>0</t>
    </r>
  </si>
  <si>
    <r>
      <t>Information provided:</t>
    </r>
    <r>
      <rPr>
        <sz val="10"/>
        <rFont val="Verdana"/>
      </rPr>
      <t xml:space="preserve"> Test scores are distributed with...</t>
    </r>
  </si>
  <si>
    <r>
      <t>n</t>
    </r>
    <r>
      <rPr>
        <vertAlign val="subscript"/>
        <sz val="10"/>
        <rFont val="Verdana"/>
      </rPr>
      <t>A</t>
    </r>
    <r>
      <rPr>
        <sz val="10"/>
        <rFont val="Verdana"/>
      </rPr>
      <t xml:space="preserve">: </t>
    </r>
  </si>
  <si>
    <r>
      <t>n</t>
    </r>
    <r>
      <rPr>
        <vertAlign val="subscript"/>
        <sz val="10"/>
        <rFont val="Verdana"/>
      </rPr>
      <t>B</t>
    </r>
    <r>
      <rPr>
        <sz val="10"/>
        <rFont val="Verdana"/>
      </rPr>
      <t xml:space="preserve">: </t>
    </r>
  </si>
  <si>
    <r>
      <t>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: </t>
    </r>
  </si>
  <si>
    <r>
      <t>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: </t>
    </r>
  </si>
  <si>
    <r>
      <t>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= 100</t>
    </r>
  </si>
  <si>
    <r>
      <t>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≠ 100</t>
    </r>
  </si>
  <si>
    <r>
      <t>Summary Score: M</t>
    </r>
    <r>
      <rPr>
        <vertAlign val="subscript"/>
        <sz val="10"/>
        <rFont val="Verdana"/>
      </rPr>
      <t>A</t>
    </r>
    <r>
      <rPr>
        <sz val="10"/>
        <rFont val="Verdana"/>
      </rPr>
      <t>, mean of Dr. A's students</t>
    </r>
  </si>
  <si>
    <r>
      <t>Summary Score: M</t>
    </r>
    <r>
      <rPr>
        <vertAlign val="subscript"/>
        <sz val="10"/>
        <rFont val="Verdana"/>
      </rPr>
      <t>B</t>
    </r>
    <r>
      <rPr>
        <sz val="10"/>
        <rFont val="Verdana"/>
      </rPr>
      <t>, mean of Dr. B's students</t>
    </r>
  </si>
  <si>
    <r>
      <t>High Crit 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= </t>
    </r>
  </si>
  <si>
    <r>
      <t>Low Crit 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= </t>
    </r>
  </si>
  <si>
    <r>
      <t>Obtained 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= </t>
    </r>
  </si>
  <si>
    <r>
      <t>Obtained 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falls between Crit M</t>
    </r>
    <r>
      <rPr>
        <vertAlign val="subscript"/>
        <sz val="10"/>
        <rFont val="Verdana"/>
      </rPr>
      <t>A</t>
    </r>
    <r>
      <rPr>
        <sz val="10"/>
        <rFont val="Verdana"/>
      </rPr>
      <t>'s; don't reject H</t>
    </r>
    <r>
      <rPr>
        <vertAlign val="subscript"/>
        <sz val="10"/>
        <rFont val="Verdana"/>
      </rPr>
      <t>0</t>
    </r>
  </si>
  <si>
    <r>
      <t>Obtained M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falls between Crit M</t>
    </r>
    <r>
      <rPr>
        <vertAlign val="subscript"/>
        <sz val="10"/>
        <rFont val="Verdana"/>
      </rPr>
      <t>B</t>
    </r>
    <r>
      <rPr>
        <sz val="10"/>
        <rFont val="Verdana"/>
      </rPr>
      <t>'s; don't reject H</t>
    </r>
    <r>
      <rPr>
        <vertAlign val="subscript"/>
        <sz val="10"/>
        <rFont val="Verdana"/>
      </rPr>
      <t>0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</si>
  <si>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B</t>
    </r>
    <r>
      <rPr>
        <sz val="10"/>
        <rFont val="Verdana"/>
      </rPr>
      <t>) = 0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</si>
  <si>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B</t>
    </r>
    <r>
      <rPr>
        <sz val="10"/>
        <rFont val="Verdana"/>
      </rPr>
      <t>) ≠ 0</t>
    </r>
  </si>
  <si>
    <r>
      <t>Summary Score: (M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B</t>
    </r>
    <r>
      <rPr>
        <sz val="10"/>
        <rFont val="Verdana"/>
      </rPr>
      <t>), difference between Dr. A's students and Dr. B's students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</si>
  <si>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(M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B</t>
    </r>
    <r>
      <rPr>
        <sz val="10"/>
        <rFont val="Verdana"/>
      </rPr>
      <t>) is distributed with</t>
    </r>
  </si>
  <si>
    <r>
      <t>m</t>
    </r>
    <r>
      <rPr>
        <vertAlign val="subscript"/>
        <sz val="10"/>
        <rFont val="Verdana"/>
      </rPr>
      <t>MA-MB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</si>
  <si>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MA-MB</t>
    </r>
    <r>
      <rPr>
        <sz val="10"/>
        <rFont val="Verdana"/>
      </rPr>
      <t xml:space="preserve"> = </t>
    </r>
  </si>
  <si>
    <r>
      <t>High (M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B</t>
    </r>
    <r>
      <rPr>
        <sz val="10"/>
        <rFont val="Verdana"/>
      </rPr>
      <t>) =</t>
    </r>
  </si>
  <si>
    <r>
      <t>Low (M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B</t>
    </r>
    <r>
      <rPr>
        <sz val="10"/>
        <rFont val="Verdana"/>
      </rPr>
      <t>) =</t>
    </r>
  </si>
  <si>
    <r>
      <t>Obt (M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B</t>
    </r>
    <r>
      <rPr>
        <sz val="10"/>
        <rFont val="Verdana"/>
      </rPr>
      <t>) =</t>
    </r>
  </si>
  <si>
    <r>
      <t>Obtained (M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B</t>
    </r>
    <r>
      <rPr>
        <sz val="10"/>
        <rFont val="Verdana"/>
      </rPr>
      <t>) is higher than the high Crit (M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B</t>
    </r>
    <r>
      <rPr>
        <sz val="10"/>
        <rFont val="Verdana"/>
      </rPr>
      <t>); reject H</t>
    </r>
    <r>
      <rPr>
        <vertAlign val="subscript"/>
        <sz val="10"/>
        <rFont val="Verdana"/>
      </rPr>
      <t>0</t>
    </r>
  </si>
  <si>
    <r>
      <t>n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= </t>
    </r>
  </si>
  <si>
    <r>
      <t>n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</si>
  <si>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</si>
  <si>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MA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</si>
  <si>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MB</t>
    </r>
    <r>
      <rPr>
        <sz val="10"/>
        <rFont val="Verdana"/>
      </rPr>
      <t xml:space="preserve"> = </t>
    </r>
  </si>
  <si>
    <r>
      <t>n</t>
    </r>
    <r>
      <rPr>
        <vertAlign val="subscript"/>
        <sz val="10"/>
        <rFont val="Verdana"/>
      </rPr>
      <t>J</t>
    </r>
    <r>
      <rPr>
        <sz val="10"/>
        <rFont val="Verdana"/>
      </rPr>
      <t>:</t>
    </r>
  </si>
  <si>
    <r>
      <t>M</t>
    </r>
    <r>
      <rPr>
        <vertAlign val="subscript"/>
        <sz val="10"/>
        <rFont val="Verdana"/>
      </rPr>
      <t>J</t>
    </r>
    <r>
      <rPr>
        <sz val="10"/>
        <rFont val="Verdana"/>
      </rPr>
      <t>: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</si>
  <si>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H</t>
    </r>
    <r>
      <rPr>
        <sz val="10"/>
        <rFont val="Verdana"/>
      </rPr>
      <t>) = 0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</si>
  <si>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H</t>
    </r>
    <r>
      <rPr>
        <sz val="10"/>
        <rFont val="Verdana"/>
      </rPr>
      <t>) ≠ 0</t>
    </r>
  </si>
  <si>
    <r>
      <t>Summary Score: (M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H</t>
    </r>
    <r>
      <rPr>
        <sz val="10"/>
        <rFont val="Verdana"/>
      </rPr>
      <t>), difference between UW and Harvard students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</si>
  <si>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(M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H</t>
    </r>
    <r>
      <rPr>
        <sz val="10"/>
        <rFont val="Verdana"/>
      </rPr>
      <t>) is distributed with</t>
    </r>
  </si>
  <si>
    <r>
      <t>m</t>
    </r>
    <r>
      <rPr>
        <vertAlign val="subscript"/>
        <sz val="10"/>
        <rFont val="Verdana"/>
      </rPr>
      <t>MW-MH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</si>
  <si>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MW-MH</t>
    </r>
    <r>
      <rPr>
        <sz val="10"/>
        <rFont val="Verdana"/>
      </rPr>
      <t xml:space="preserve"> = </t>
    </r>
  </si>
  <si>
    <r>
      <t>High (M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H</t>
    </r>
    <r>
      <rPr>
        <sz val="10"/>
        <rFont val="Verdana"/>
      </rPr>
      <t>) =</t>
    </r>
  </si>
  <si>
    <r>
      <t>Low (M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H</t>
    </r>
    <r>
      <rPr>
        <sz val="10"/>
        <rFont val="Verdana"/>
      </rPr>
      <t>) =</t>
    </r>
  </si>
  <si>
    <r>
      <t>Obt (M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H</t>
    </r>
    <r>
      <rPr>
        <sz val="10"/>
        <rFont val="Verdana"/>
      </rPr>
      <t>) =</t>
    </r>
  </si>
  <si>
    <r>
      <t>Obtained (M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H</t>
    </r>
    <r>
      <rPr>
        <sz val="10"/>
        <rFont val="Verdana"/>
      </rPr>
      <t>) falls between two criteria; fail to reject H</t>
    </r>
    <r>
      <rPr>
        <vertAlign val="subscript"/>
        <sz val="10"/>
        <rFont val="Verdana"/>
      </rPr>
      <t>0</t>
    </r>
  </si>
  <si>
    <r>
      <t>n</t>
    </r>
    <r>
      <rPr>
        <vertAlign val="subscript"/>
        <sz val="10"/>
        <rFont val="Verdana"/>
      </rPr>
      <t>UW</t>
    </r>
    <r>
      <rPr>
        <sz val="10"/>
        <rFont val="Verdana"/>
      </rPr>
      <t xml:space="preserve"> = </t>
    </r>
  </si>
  <si>
    <r>
      <t>n</t>
    </r>
    <r>
      <rPr>
        <vertAlign val="subscript"/>
        <sz val="10"/>
        <rFont val="Verdana"/>
      </rPr>
      <t>H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</si>
  <si>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UW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</si>
  <si>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H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</si>
  <si>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MUW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</si>
  <si>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MH</t>
    </r>
    <r>
      <rPr>
        <sz val="10"/>
        <rFont val="Verdana"/>
      </rPr>
      <t xml:space="preserve"> = </t>
    </r>
  </si>
  <si>
    <r>
      <t>Obt (M</t>
    </r>
    <r>
      <rPr>
        <vertAlign val="subscript"/>
        <sz val="10"/>
        <rFont val="Verdana"/>
      </rPr>
      <t>UW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H</t>
    </r>
    <r>
      <rPr>
        <sz val="10"/>
        <rFont val="Verdana"/>
      </rPr>
      <t>) =</t>
    </r>
  </si>
  <si>
    <r>
      <t>s</t>
    </r>
    <r>
      <rPr>
        <vertAlign val="subscript"/>
        <sz val="10"/>
        <rFont val="Verdana"/>
      </rPr>
      <t>MUW-MH</t>
    </r>
    <r>
      <rPr>
        <sz val="10"/>
        <rFont val="Verdana"/>
      </rPr>
      <t xml:space="preserve"> = </t>
    </r>
  </si>
  <si>
    <r>
      <t>Information provided:</t>
    </r>
    <r>
      <rPr>
        <sz val="10"/>
        <rFont val="Verdana"/>
      </rPr>
      <t xml:space="preserve"> Times are distributed with...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</si>
  <si>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PB</t>
    </r>
    <r>
      <rPr>
        <sz val="10"/>
        <rFont val="Verdana"/>
      </rPr>
      <t>) = 0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</si>
  <si>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PB</t>
    </r>
    <r>
      <rPr>
        <sz val="10"/>
        <rFont val="Verdana"/>
      </rPr>
      <t>) ≠ 0</t>
    </r>
  </si>
  <si>
    <r>
      <t>Summary Score: (M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P</t>
    </r>
    <r>
      <rPr>
        <sz val="10"/>
        <rFont val="Verdana"/>
      </rPr>
      <t>), difference between two conditions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</si>
  <si>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(M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PB</t>
    </r>
    <r>
      <rPr>
        <sz val="10"/>
        <rFont val="Verdana"/>
      </rPr>
      <t>) is distributed with</t>
    </r>
  </si>
  <si>
    <r>
      <t>m</t>
    </r>
    <r>
      <rPr>
        <vertAlign val="subscript"/>
        <sz val="10"/>
        <rFont val="Verdana"/>
      </rPr>
      <t>MJ-MPB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</si>
  <si>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MJ-MPB</t>
    </r>
    <r>
      <rPr>
        <sz val="10"/>
        <rFont val="Verdana"/>
      </rPr>
      <t xml:space="preserve"> = </t>
    </r>
  </si>
  <si>
    <r>
      <t>High (M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PB</t>
    </r>
    <r>
      <rPr>
        <sz val="10"/>
        <rFont val="Verdana"/>
      </rPr>
      <t>) =</t>
    </r>
  </si>
  <si>
    <r>
      <t>Low (M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PB</t>
    </r>
    <r>
      <rPr>
        <sz val="10"/>
        <rFont val="Verdana"/>
      </rPr>
      <t>) =</t>
    </r>
  </si>
  <si>
    <r>
      <t>Obt (M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PB</t>
    </r>
    <r>
      <rPr>
        <sz val="10"/>
        <rFont val="Verdana"/>
      </rPr>
      <t>) =</t>
    </r>
  </si>
  <si>
    <r>
      <t>Obtained (M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PB</t>
    </r>
    <r>
      <rPr>
        <sz val="10"/>
        <rFont val="Verdana"/>
      </rPr>
      <t>) exceeds high criterion; reject H</t>
    </r>
    <r>
      <rPr>
        <vertAlign val="subscript"/>
        <sz val="10"/>
        <rFont val="Verdana"/>
      </rPr>
      <t>0</t>
    </r>
  </si>
  <si>
    <r>
      <t>n</t>
    </r>
    <r>
      <rPr>
        <vertAlign val="subscript"/>
        <sz val="10"/>
        <rFont val="Verdana"/>
      </rPr>
      <t>PB</t>
    </r>
    <r>
      <rPr>
        <sz val="10"/>
        <rFont val="Verdana"/>
      </rPr>
      <t xml:space="preserve"> = </t>
    </r>
  </si>
  <si>
    <r>
      <t>n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</si>
  <si>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PB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</si>
  <si>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MPB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</si>
  <si>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MJ</t>
    </r>
    <r>
      <rPr>
        <sz val="10"/>
        <rFont val="Verdana"/>
      </rPr>
      <t xml:space="preserve"> = </t>
    </r>
  </si>
  <si>
    <r>
      <t>Information provided:</t>
    </r>
    <r>
      <rPr>
        <sz val="10"/>
        <rFont val="Verdana"/>
      </rPr>
      <t xml:space="preserve"> Heights are distributed with...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</si>
  <si>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A</t>
    </r>
    <r>
      <rPr>
        <sz val="10"/>
        <rFont val="Verdana"/>
      </rPr>
      <t>) = 0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</si>
  <si>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A</t>
    </r>
    <r>
      <rPr>
        <sz val="10"/>
        <rFont val="Verdana"/>
      </rPr>
      <t>) &gt; 0</t>
    </r>
  </si>
  <si>
    <r>
      <t>Summary Score: (M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A</t>
    </r>
    <r>
      <rPr>
        <sz val="10"/>
        <rFont val="Verdana"/>
      </rPr>
      <t>), difference between two conditions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</si>
  <si>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(M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A</t>
    </r>
    <r>
      <rPr>
        <sz val="10"/>
        <rFont val="Verdana"/>
      </rPr>
      <t>) is distributed with</t>
    </r>
  </si>
  <si>
    <r>
      <t>m</t>
    </r>
    <r>
      <rPr>
        <vertAlign val="subscript"/>
        <sz val="10"/>
        <rFont val="Verdana"/>
      </rPr>
      <t>MA-Mf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</si>
  <si>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MA-MF</t>
    </r>
    <r>
      <rPr>
        <sz val="10"/>
        <rFont val="Verdana"/>
      </rPr>
      <t xml:space="preserve"> = </t>
    </r>
  </si>
  <si>
    <r>
      <t>Crit (M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A</t>
    </r>
    <r>
      <rPr>
        <sz val="10"/>
        <rFont val="Verdana"/>
      </rPr>
      <t>) =</t>
    </r>
  </si>
  <si>
    <r>
      <t>Obt (M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A</t>
    </r>
    <r>
      <rPr>
        <sz val="10"/>
        <rFont val="Verdana"/>
      </rPr>
      <t>) =</t>
    </r>
  </si>
  <si>
    <r>
      <t>Obtained (M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A</t>
    </r>
    <r>
      <rPr>
        <sz val="10"/>
        <rFont val="Verdana"/>
      </rPr>
      <t>) less that Crit (M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A</t>
    </r>
    <r>
      <rPr>
        <sz val="10"/>
        <rFont val="Verdana"/>
      </rPr>
      <t>); fail to reject H</t>
    </r>
    <r>
      <rPr>
        <vertAlign val="subscript"/>
        <sz val="10"/>
        <rFont val="Verdana"/>
      </rPr>
      <t>0</t>
    </r>
  </si>
  <si>
    <r>
      <t>n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</si>
  <si>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</si>
  <si>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MM</t>
    </r>
    <r>
      <rPr>
        <sz val="10"/>
        <rFont val="Verdana"/>
      </rPr>
      <t xml:space="preserve"> = </t>
    </r>
  </si>
  <si>
    <r>
      <t>Information provided:</t>
    </r>
    <r>
      <rPr>
        <sz val="10"/>
        <rFont val="Verdana"/>
      </rPr>
      <t xml:space="preserve"> Scores are distributed with...</t>
    </r>
  </si>
  <si>
    <r>
      <t>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</si>
  <si>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: </t>
    </r>
  </si>
  <si>
    <r>
      <t>M</t>
    </r>
    <r>
      <rPr>
        <vertAlign val="subscript"/>
        <sz val="10"/>
        <rFont val="Verdana"/>
      </rPr>
      <t>M</t>
    </r>
    <r>
      <rPr>
        <sz val="10"/>
        <rFont val="Verdana"/>
      </rPr>
      <t xml:space="preserve">: </t>
    </r>
  </si>
  <si>
    <r>
      <t>S</t>
    </r>
    <r>
      <rPr>
        <vertAlign val="subscript"/>
        <sz val="10"/>
        <rFont val="Verdana"/>
      </rPr>
      <t>M</t>
    </r>
    <r>
      <rPr>
        <sz val="10"/>
        <rFont val="Verdana"/>
      </rPr>
      <t xml:space="preserve">: </t>
    </r>
  </si>
  <si>
    <r>
      <t>S</t>
    </r>
    <r>
      <rPr>
        <vertAlign val="subscript"/>
        <sz val="10"/>
        <rFont val="Verdana"/>
      </rPr>
      <t>M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 xml:space="preserve">: </t>
    </r>
  </si>
  <si>
    <r>
      <t>Factor by which 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exceeds S</t>
    </r>
    <r>
      <rPr>
        <vertAlign val="subscript"/>
        <sz val="10"/>
        <rFont val="Verdana"/>
      </rPr>
      <t>M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: </t>
    </r>
  </si>
  <si>
    <r>
      <t>Factor by which S exceeds S</t>
    </r>
    <r>
      <rPr>
        <vertAlign val="subscript"/>
        <sz val="10"/>
        <rFont val="Verdana"/>
      </rPr>
      <t>M</t>
    </r>
    <r>
      <rPr>
        <sz val="10"/>
        <rFont val="Verdana"/>
      </rPr>
      <t xml:space="preserve">: </t>
    </r>
  </si>
  <si>
    <t>Problem 2</t>
    <phoneticPr fontId="11" type="noConversion"/>
  </si>
  <si>
    <t>Data from Chapter 7, Problem 3</t>
    <phoneticPr fontId="11" type="noConversion"/>
  </si>
  <si>
    <t>Hypothesis testing</t>
  </si>
  <si>
    <t xml:space="preserve">n = </t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</si>
  <si>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</t>
    </r>
  </si>
  <si>
    <t>Crit z=</t>
    <phoneticPr fontId="3" type="noConversion"/>
  </si>
  <si>
    <t>a.</t>
    <phoneticPr fontId="11" type="noConversion"/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</si>
  <si>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</t>
    </r>
  </si>
  <si>
    <r>
      <t>If 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true, M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is distributed with</t>
    </r>
  </si>
  <si>
    <r>
      <t xml:space="preserve">To computer </t>
    </r>
    <r>
      <rPr>
        <sz val="10"/>
        <color indexed="11"/>
        <rFont val="Verdana"/>
      </rPr>
      <t>Power</t>
    </r>
    <r>
      <rPr>
        <sz val="10"/>
        <rFont val="Verdana"/>
      </rPr>
      <t xml:space="preserve"> and </t>
    </r>
    <r>
      <rPr>
        <sz val="10"/>
        <color indexed="10"/>
        <rFont val="Symbol"/>
      </rPr>
      <t>b</t>
    </r>
  </si>
  <si>
    <r>
      <t>z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= </t>
    </r>
  </si>
  <si>
    <t>-∞</t>
    <phoneticPr fontId="11" type="noConversion"/>
  </si>
  <si>
    <r>
      <t>z</t>
    </r>
    <r>
      <rPr>
        <vertAlign val="subscript"/>
        <sz val="10"/>
        <rFont val="Verdana"/>
      </rPr>
      <t>2</t>
    </r>
    <r>
      <rPr>
        <sz val="10"/>
        <rFont val="Verdana"/>
      </rPr>
      <t xml:space="preserve"> = </t>
    </r>
  </si>
  <si>
    <r>
      <t>F(z</t>
    </r>
    <r>
      <rPr>
        <vertAlign val="subscript"/>
        <sz val="10"/>
        <rFont val="Verdana"/>
      </rPr>
      <t>1</t>
    </r>
    <r>
      <rPr>
        <sz val="10"/>
        <rFont val="Verdana"/>
      </rPr>
      <t xml:space="preserve">) = </t>
    </r>
  </si>
  <si>
    <r>
      <t>F(z</t>
    </r>
    <r>
      <rPr>
        <vertAlign val="subscript"/>
        <sz val="10"/>
        <rFont val="Verdana"/>
      </rPr>
      <t>2</t>
    </r>
    <r>
      <rPr>
        <sz val="10"/>
        <rFont val="Verdana"/>
      </rPr>
      <t xml:space="preserve">) = </t>
    </r>
  </si>
  <si>
    <r>
      <t>Power = F(z</t>
    </r>
    <r>
      <rPr>
        <vertAlign val="subscript"/>
        <sz val="10"/>
        <color indexed="17"/>
        <rFont val="Verdana"/>
      </rPr>
      <t>2</t>
    </r>
    <r>
      <rPr>
        <sz val="10"/>
        <color indexed="17"/>
        <rFont val="Verdana"/>
      </rPr>
      <t>)-F(z</t>
    </r>
    <r>
      <rPr>
        <vertAlign val="subscript"/>
        <sz val="10"/>
        <color indexed="17"/>
        <rFont val="Verdana"/>
      </rPr>
      <t>1</t>
    </r>
    <r>
      <rPr>
        <sz val="10"/>
        <color indexed="17"/>
        <rFont val="Verdana"/>
      </rPr>
      <t xml:space="preserve">) = </t>
    </r>
  </si>
  <si>
    <r>
      <t>b</t>
    </r>
    <r>
      <rPr>
        <sz val="10"/>
        <color indexed="10"/>
        <rFont val="Verdana"/>
      </rPr>
      <t xml:space="preserve"> = (1-Power) = </t>
    </r>
  </si>
  <si>
    <t>b.</t>
    <phoneticPr fontId="11" type="noConversion"/>
  </si>
  <si>
    <t>Problem 5</t>
    <phoneticPr fontId="11" type="noConversion"/>
  </si>
  <si>
    <r>
      <t>Information provided:</t>
    </r>
    <r>
      <rPr>
        <sz val="10"/>
        <rFont val="Verdana"/>
      </rPr>
      <t xml:space="preserve"> Rainfall is distributed with</t>
    </r>
  </si>
  <si>
    <t>Data</t>
    <phoneticPr fontId="11" type="noConversion"/>
  </si>
  <si>
    <t>Portland</t>
    <phoneticPr fontId="11" type="noConversion"/>
  </si>
  <si>
    <t>Seattle</t>
    <phoneticPr fontId="11" type="noConversion"/>
  </si>
  <si>
    <t>a.</t>
    <phoneticPr fontId="11" type="noConversion"/>
  </si>
  <si>
    <t>Hypothesis testing: Difference</t>
    <phoneticPr fontId="11" type="noConversion"/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</si>
  <si>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S</t>
    </r>
    <r>
      <rPr>
        <sz val="10"/>
        <rFont val="Verdana"/>
      </rPr>
      <t>) = 0</t>
    </r>
  </si>
  <si>
    <r>
      <t>(</t>
    </r>
    <r>
      <rPr>
        <sz val="10"/>
        <rFont val="Symbol"/>
      </rPr>
      <t>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S</t>
    </r>
    <r>
      <rPr>
        <sz val="10"/>
        <rFont val="Verdana"/>
      </rPr>
      <t>) &gt; 0</t>
    </r>
  </si>
  <si>
    <r>
      <t>Summary Score: (M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S</t>
    </r>
    <r>
      <rPr>
        <sz val="10"/>
        <rFont val="Verdana"/>
      </rPr>
      <t>), difference between Seattle and Portland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</si>
  <si>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(M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S</t>
    </r>
    <r>
      <rPr>
        <sz val="10"/>
        <rFont val="Verdana"/>
      </rPr>
      <t>) is distributed with</t>
    </r>
  </si>
  <si>
    <r>
      <t>m</t>
    </r>
    <r>
      <rPr>
        <vertAlign val="subscript"/>
        <sz val="10"/>
        <rFont val="Verdana"/>
      </rPr>
      <t>MP-MS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</si>
  <si>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MP-MS</t>
    </r>
    <r>
      <rPr>
        <sz val="10"/>
        <rFont val="Verdana"/>
      </rPr>
      <t xml:space="preserve"> = </t>
    </r>
  </si>
  <si>
    <t xml:space="preserve">Crit z = </t>
    <phoneticPr fontId="11" type="noConversion"/>
  </si>
  <si>
    <r>
      <t>Crit (M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S</t>
    </r>
    <r>
      <rPr>
        <sz val="10"/>
        <rFont val="Verdana"/>
      </rPr>
      <t>) =</t>
    </r>
  </si>
  <si>
    <r>
      <t>Obt (M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S</t>
    </r>
    <r>
      <rPr>
        <sz val="10"/>
        <rFont val="Verdana"/>
      </rPr>
      <t>) =</t>
    </r>
  </si>
  <si>
    <r>
      <t>Obtained (M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S</t>
    </r>
    <r>
      <rPr>
        <sz val="10"/>
        <rFont val="Verdana"/>
      </rPr>
      <t>) doesn't exceed criterion; don't reject H</t>
    </r>
    <r>
      <rPr>
        <vertAlign val="subscript"/>
        <sz val="10"/>
        <rFont val="Verdana"/>
      </rPr>
      <t>0</t>
    </r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</si>
  <si>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>: (</t>
    </r>
    <r>
      <rPr>
        <sz val="10"/>
        <rFont val="Symbol"/>
      </rPr>
      <t>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</t>
    </r>
    <r>
      <rPr>
        <sz val="10"/>
        <rFont val="Symbol"/>
      </rPr>
      <t>m</t>
    </r>
    <r>
      <rPr>
        <vertAlign val="subscript"/>
        <sz val="10"/>
        <rFont val="Verdana"/>
      </rPr>
      <t>S</t>
    </r>
    <r>
      <rPr>
        <sz val="10"/>
        <rFont val="Verdana"/>
      </rPr>
      <t xml:space="preserve">) = </t>
    </r>
  </si>
  <si>
    <t>-∞</t>
    <phoneticPr fontId="11" type="noConversion"/>
  </si>
  <si>
    <r>
      <t>b</t>
    </r>
    <r>
      <rPr>
        <sz val="10"/>
        <color indexed="10"/>
        <rFont val="Verdana"/>
      </rPr>
      <t xml:space="preserve"> = F(z</t>
    </r>
    <r>
      <rPr>
        <vertAlign val="subscript"/>
        <sz val="10"/>
        <color indexed="10"/>
        <rFont val="Verdana"/>
      </rPr>
      <t>2</t>
    </r>
    <r>
      <rPr>
        <sz val="10"/>
        <color indexed="10"/>
        <rFont val="Verdana"/>
      </rPr>
      <t>)-F(z</t>
    </r>
    <r>
      <rPr>
        <vertAlign val="subscript"/>
        <sz val="10"/>
        <color indexed="10"/>
        <rFont val="Verdana"/>
      </rPr>
      <t>1</t>
    </r>
    <r>
      <rPr>
        <sz val="10"/>
        <color indexed="10"/>
        <rFont val="Verdana"/>
      </rPr>
      <t xml:space="preserve">) = </t>
    </r>
  </si>
  <si>
    <r>
      <t>Power = (1-</t>
    </r>
    <r>
      <rPr>
        <sz val="10"/>
        <color indexed="17"/>
        <rFont val="Symbol"/>
      </rPr>
      <t>b</t>
    </r>
    <r>
      <rPr>
        <sz val="10"/>
        <color indexed="17"/>
        <rFont val="Verdana"/>
      </rPr>
      <t xml:space="preserve">) = </t>
    </r>
  </si>
  <si>
    <t>85% Confidence Intervals:</t>
  </si>
  <si>
    <t>Portland</t>
    <phoneticPr fontId="11" type="noConversion"/>
  </si>
  <si>
    <t>Seattle</t>
    <phoneticPr fontId="11" type="noConversion"/>
  </si>
  <si>
    <r>
      <t>n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= </t>
    </r>
  </si>
  <si>
    <r>
      <t>n</t>
    </r>
    <r>
      <rPr>
        <vertAlign val="subscript"/>
        <sz val="10"/>
        <rFont val="Verdana"/>
      </rPr>
      <t>S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</si>
  <si>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= </t>
    </r>
  </si>
  <si>
    <r>
      <t>M</t>
    </r>
    <r>
      <rPr>
        <vertAlign val="subscript"/>
        <sz val="10"/>
        <rFont val="Verdana"/>
      </rPr>
      <t>S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</si>
  <si>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MP</t>
    </r>
    <r>
      <rPr>
        <sz val="10"/>
        <rFont val="Verdana"/>
      </rPr>
      <t xml:space="preserve"> = </t>
    </r>
  </si>
  <si>
    <r>
      <t>s</t>
    </r>
    <r>
      <rPr>
        <vertAlign val="subscript"/>
        <sz val="10"/>
        <rFont val="Verdana"/>
      </rPr>
      <t>MS</t>
    </r>
    <r>
      <rPr>
        <sz val="10"/>
        <rFont val="Verdana"/>
      </rPr>
      <t xml:space="preserve"> = </t>
    </r>
  </si>
  <si>
    <t xml:space="preserve">% confidence = </t>
    <phoneticPr fontId="11" type="noConversion"/>
  </si>
  <si>
    <t xml:space="preserve">criterion z = </t>
    <phoneticPr fontId="11" type="noConversion"/>
  </si>
  <si>
    <t>CI magnitude: ±</t>
    <phoneticPr fontId="11" type="noConversion"/>
  </si>
  <si>
    <t>High CI value</t>
    <phoneticPr fontId="11" type="noConversion"/>
  </si>
  <si>
    <t>Low CI value</t>
    <phoneticPr fontId="11" type="noConversion"/>
  </si>
  <si>
    <t>Mean difference</t>
    <phoneticPr fontId="11" type="noConversion"/>
  </si>
  <si>
    <t>Problem 10</t>
    <phoneticPr fontId="11" type="noConversion"/>
  </si>
  <si>
    <t>Marriage age is distributed with</t>
    <phoneticPr fontId="11" type="noConversion"/>
  </si>
  <si>
    <t>Puyallup</t>
    <phoneticPr fontId="11" type="noConversion"/>
  </si>
  <si>
    <t>a.</t>
    <phoneticPr fontId="11" type="noConversion"/>
  </si>
  <si>
    <t>Hypothesis testing: Difference</t>
    <phoneticPr fontId="11" type="noConversion"/>
  </si>
  <si>
    <r>
      <t>Summary Score: (M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S</t>
    </r>
    <r>
      <rPr>
        <sz val="10"/>
        <rFont val="Verdana"/>
      </rPr>
      <t>), difference between Seattle and Puyallup</t>
    </r>
  </si>
  <si>
    <r>
      <t>Obtained (M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S</t>
    </r>
    <r>
      <rPr>
        <sz val="10"/>
        <rFont val="Verdana"/>
      </rPr>
      <t>) exceeds criterion; reject H</t>
    </r>
    <r>
      <rPr>
        <vertAlign val="subscript"/>
        <sz val="10"/>
        <rFont val="Verdana"/>
      </rPr>
      <t>0</t>
    </r>
  </si>
  <si>
    <t>Puyallup</t>
    <phoneticPr fontId="11" type="noConversion"/>
  </si>
  <si>
    <t>CI magnitude: ±</t>
    <phoneticPr fontId="11" type="noConversion"/>
  </si>
  <si>
    <t>High CI value</t>
    <phoneticPr fontId="11" type="noConversion"/>
  </si>
  <si>
    <t>Mean difference</t>
    <phoneticPr fontId="11" type="noConversion"/>
  </si>
  <si>
    <t>c</t>
    <phoneticPr fontId="11" type="noConversion"/>
  </si>
  <si>
    <t xml:space="preserve">Crit Z = </t>
    <phoneticPr fontId="11" type="noConversion"/>
  </si>
  <si>
    <r>
      <t>for the 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distribution to ensure Power = .98</t>
    </r>
  </si>
  <si>
    <r>
      <t>for the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distribution to ensure </t>
    </r>
    <r>
      <rPr>
        <sz val="10"/>
        <rFont val="Symbol"/>
      </rPr>
      <t>a</t>
    </r>
    <r>
      <rPr>
        <sz val="10"/>
        <rFont val="Verdana"/>
      </rPr>
      <t xml:space="preserve"> = .10</t>
    </r>
  </si>
  <si>
    <r>
      <t>Crit (M</t>
    </r>
    <r>
      <rPr>
        <vertAlign val="subscript"/>
        <sz val="10"/>
        <rFont val="Verdana"/>
      </rPr>
      <t>P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S</t>
    </r>
    <r>
      <rPr>
        <sz val="10"/>
        <rFont val="Verdana"/>
      </rPr>
      <t xml:space="preserve">) = </t>
    </r>
  </si>
  <si>
    <r>
      <t>2 - 2.054</t>
    </r>
    <r>
      <rPr>
        <sz val="10"/>
        <rFont val="Symbol"/>
      </rPr>
      <t>s</t>
    </r>
    <r>
      <rPr>
        <vertAlign val="subscript"/>
        <sz val="10"/>
        <rFont val="Verdana"/>
      </rPr>
      <t>MP-MS</t>
    </r>
  </si>
  <si>
    <r>
      <t>Equation 1: working backward from the 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distribution z-score</t>
    </r>
  </si>
  <si>
    <r>
      <t>1.282</t>
    </r>
    <r>
      <rPr>
        <sz val="10"/>
        <rFont val="Symbol"/>
      </rPr>
      <t>s</t>
    </r>
    <r>
      <rPr>
        <vertAlign val="subscript"/>
        <sz val="10"/>
        <rFont val="Verdana"/>
      </rPr>
      <t>MP-MS</t>
    </r>
  </si>
  <si>
    <r>
      <t>Equation 2: working backward from the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distribution z-score</t>
    </r>
  </si>
  <si>
    <t>2 =</t>
    <phoneticPr fontId="11" type="noConversion"/>
  </si>
  <si>
    <r>
      <t>3.335</t>
    </r>
    <r>
      <rPr>
        <sz val="10"/>
        <rFont val="Symbol"/>
      </rPr>
      <t>s</t>
    </r>
    <r>
      <rPr>
        <vertAlign val="subscript"/>
        <sz val="10"/>
        <rFont val="Verdana"/>
      </rPr>
      <t>MP-MS</t>
    </r>
  </si>
  <si>
    <t>Subtracting Equation 2 from Equation 1 and rearranging terms</t>
    <phoneticPr fontId="11" type="noConversion"/>
  </si>
  <si>
    <r>
      <t xml:space="preserve">= </t>
    </r>
    <r>
      <rPr>
        <sz val="10"/>
        <rFont val="Symbol"/>
      </rPr>
      <t>s</t>
    </r>
    <r>
      <rPr>
        <vertAlign val="subscript"/>
        <sz val="10"/>
        <rFont val="Verdana"/>
      </rPr>
      <t>MP-MS</t>
    </r>
  </si>
  <si>
    <r>
      <t xml:space="preserve">Solving for </t>
    </r>
    <r>
      <rPr>
        <sz val="10"/>
        <rFont val="Symbol"/>
      </rPr>
      <t>s</t>
    </r>
    <r>
      <rPr>
        <vertAlign val="subscript"/>
        <sz val="10"/>
        <rFont val="Verdana"/>
      </rPr>
      <t>MP-MS</t>
    </r>
  </si>
  <si>
    <r>
      <t xml:space="preserve">= </t>
    </r>
    <r>
      <rPr>
        <sz val="10"/>
        <rFont val="Symbol"/>
      </rPr>
      <t>s</t>
    </r>
    <r>
      <rPr>
        <vertAlign val="superscript"/>
        <sz val="10"/>
        <rFont val="Times"/>
      </rPr>
      <t>2</t>
    </r>
    <r>
      <rPr>
        <vertAlign val="subscript"/>
        <sz val="10"/>
        <rFont val="Verdana"/>
      </rPr>
      <t xml:space="preserve">MP-MS </t>
    </r>
    <r>
      <rPr>
        <sz val="10"/>
        <rFont val="time"/>
      </rPr>
      <t>=</t>
    </r>
  </si>
  <si>
    <r>
      <t>s</t>
    </r>
    <r>
      <rPr>
        <vertAlign val="superscript"/>
        <sz val="10"/>
        <rFont val="Times"/>
      </rPr>
      <t>2</t>
    </r>
    <r>
      <rPr>
        <vertAlign val="subscript"/>
        <sz val="10"/>
        <rFont val="Verdana"/>
      </rPr>
      <t xml:space="preserve">MP + </t>
    </r>
    <r>
      <rPr>
        <sz val="10"/>
        <rFont val="Symbol"/>
      </rPr>
      <t>s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 xml:space="preserve">MS </t>
    </r>
    <r>
      <rPr>
        <sz val="10"/>
        <rFont val="time"/>
      </rPr>
      <t>=</t>
    </r>
    <r>
      <rPr>
        <sz val="10"/>
        <rFont val="Symbol"/>
      </rPr>
      <t>s</t>
    </r>
    <r>
      <rPr>
        <vertAlign val="superscript"/>
        <sz val="10"/>
        <rFont val="time"/>
      </rPr>
      <t>2</t>
    </r>
    <r>
      <rPr>
        <sz val="10"/>
        <rFont val="time"/>
      </rPr>
      <t xml:space="preserve">/n + </t>
    </r>
    <r>
      <rPr>
        <sz val="10"/>
        <rFont val="Symbol"/>
      </rPr>
      <t>s</t>
    </r>
    <r>
      <rPr>
        <vertAlign val="superscript"/>
        <sz val="10"/>
        <rFont val="time"/>
      </rPr>
      <t>2</t>
    </r>
    <r>
      <rPr>
        <sz val="10"/>
        <rFont val="time"/>
      </rPr>
      <t>/n = 32/n</t>
    </r>
  </si>
  <si>
    <t>n =</t>
    <phoneticPr fontId="11" type="noConversion"/>
  </si>
  <si>
    <t>32/0.360 =</t>
    <phoneticPr fontId="11" type="noConversion"/>
  </si>
  <si>
    <t>Problem 11</t>
    <phoneticPr fontId="11" type="noConversion"/>
  </si>
  <si>
    <t>70% Confidence Intervals:</t>
    <phoneticPr fontId="11" type="noConversion"/>
  </si>
  <si>
    <t>UW</t>
    <phoneticPr fontId="11" type="noConversion"/>
  </si>
  <si>
    <t>Harvard</t>
    <phoneticPr fontId="11" type="noConversion"/>
  </si>
  <si>
    <r>
      <t>n</t>
    </r>
    <r>
      <rPr>
        <vertAlign val="subscript"/>
        <sz val="10"/>
        <color rgb="FFFF0000"/>
        <rFont val="Verdana"/>
      </rPr>
      <t>U</t>
    </r>
    <r>
      <rPr>
        <sz val="10"/>
        <color rgb="FFFF0000"/>
        <rFont val="Verdana"/>
      </rPr>
      <t xml:space="preserve"> = </t>
    </r>
  </si>
  <si>
    <r>
      <t>M</t>
    </r>
    <r>
      <rPr>
        <vertAlign val="subscript"/>
        <sz val="10"/>
        <color rgb="FFFF0000"/>
        <rFont val="Verdana"/>
      </rPr>
      <t>U</t>
    </r>
    <r>
      <rPr>
        <sz val="10"/>
        <color rgb="FFFF0000"/>
        <rFont val="Verdana"/>
      </rPr>
      <t xml:space="preserve"> = </t>
    </r>
  </si>
  <si>
    <t>80% Confidence Intervals:</t>
    <phoneticPr fontId="11" type="noConversion"/>
  </si>
  <si>
    <t>Problem 13</t>
    <phoneticPr fontId="11" type="noConversion"/>
  </si>
  <si>
    <t xml:space="preserve">N = </t>
    <phoneticPr fontId="11" type="noConversion"/>
  </si>
  <si>
    <t xml:space="preserve">p =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</si>
</sst>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"/>
    <numFmt numFmtId="166" formatCode="#,##0.0000"/>
    <numFmt numFmtId="167" formatCode="#,##0.000000"/>
    <numFmt numFmtId="168" formatCode="#,##0.0000000"/>
  </numFmts>
  <fonts count="31" x14ac:knownFonts="1">
    <font>
      <sz val="10"/>
      <name val="Verdana"/>
    </font>
    <font>
      <b/>
      <sz val="10"/>
      <name val="Verdana"/>
    </font>
    <font>
      <sz val="10"/>
      <name val="Verdana"/>
    </font>
    <font>
      <u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Symbol"/>
    </font>
    <font>
      <vertAlign val="superscript"/>
      <sz val="10"/>
      <name val="Verdana"/>
    </font>
    <font>
      <vertAlign val="subscript"/>
      <sz val="10"/>
      <name val="Verdan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vertAlign val="superscript"/>
      <sz val="10"/>
      <name val="Symbol"/>
    </font>
    <font>
      <i/>
      <sz val="10"/>
      <name val="Verdana"/>
    </font>
    <font>
      <u/>
      <sz val="12"/>
      <name val="Verdana"/>
    </font>
    <font>
      <b/>
      <sz val="10"/>
      <color rgb="FFFF0000"/>
      <name val="Verdana"/>
    </font>
    <font>
      <u/>
      <sz val="12"/>
      <color rgb="FFFF0000"/>
      <name val="Verdana"/>
    </font>
    <font>
      <sz val="10"/>
      <color rgb="FFFF0000"/>
      <name val="Verdana"/>
    </font>
    <font>
      <vertAlign val="subscript"/>
      <sz val="10"/>
      <color rgb="FFFF0000"/>
      <name val="Verdana"/>
    </font>
    <font>
      <sz val="10"/>
      <color rgb="FFFF0000"/>
      <name val="Symbol"/>
    </font>
    <font>
      <sz val="10"/>
      <color indexed="11"/>
      <name val="Verdana"/>
    </font>
    <font>
      <sz val="10"/>
      <color indexed="10"/>
      <name val="Symbol"/>
    </font>
    <font>
      <sz val="10"/>
      <color indexed="17"/>
      <name val="Verdana"/>
    </font>
    <font>
      <vertAlign val="subscript"/>
      <sz val="10"/>
      <color indexed="17"/>
      <name val="Verdana"/>
    </font>
    <font>
      <sz val="10"/>
      <color indexed="10"/>
      <name val="Verdana"/>
    </font>
    <font>
      <vertAlign val="subscript"/>
      <sz val="10"/>
      <color indexed="10"/>
      <name val="Verdana"/>
    </font>
    <font>
      <sz val="10"/>
      <color indexed="17"/>
      <name val="Symbol"/>
    </font>
    <font>
      <vertAlign val="superscript"/>
      <sz val="10"/>
      <name val="Times"/>
    </font>
    <font>
      <sz val="10"/>
      <name val="time"/>
    </font>
    <font>
      <vertAlign val="superscript"/>
      <sz val="10"/>
      <name val="tim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2">
    <xf numFmtId="164" fontId="0" fillId="0" borderId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/>
  </cellStyleXfs>
  <cellXfs count="287">
    <xf numFmtId="164" fontId="0" fillId="0" borderId="0" xfId="0">
      <alignment vertical="center"/>
    </xf>
    <xf numFmtId="164" fontId="0" fillId="0" borderId="0" xfId="0" applyBorder="1">
      <alignment vertical="center"/>
    </xf>
    <xf numFmtId="3" fontId="0" fillId="0" borderId="0" xfId="0" applyNumberFormat="1" applyBorder="1" applyAlignment="1">
      <alignment horizontal="left"/>
    </xf>
    <xf numFmtId="164" fontId="0" fillId="0" borderId="0" xfId="0">
      <alignment vertical="center"/>
    </xf>
    <xf numFmtId="3" fontId="3" fillId="0" borderId="0" xfId="0" applyNumberFormat="1" applyFont="1" applyBorder="1">
      <alignment vertical="center"/>
    </xf>
    <xf numFmtId="3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164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64" fontId="0" fillId="0" borderId="2" xfId="0" applyNumberFormat="1" applyBorder="1">
      <alignment vertical="center"/>
    </xf>
    <xf numFmtId="164" fontId="0" fillId="0" borderId="7" xfId="0" applyNumberFormat="1" applyBorder="1">
      <alignment vertical="center"/>
    </xf>
    <xf numFmtId="164" fontId="0" fillId="0" borderId="3" xfId="0" applyNumberFormat="1" applyBorder="1">
      <alignment vertical="center"/>
    </xf>
    <xf numFmtId="164" fontId="0" fillId="0" borderId="0" xfId="0" applyNumberFormat="1">
      <alignment vertical="center"/>
    </xf>
    <xf numFmtId="164" fontId="0" fillId="0" borderId="9" xfId="0" applyNumberFormat="1" applyBorder="1">
      <alignment vertical="center"/>
    </xf>
    <xf numFmtId="164" fontId="0" fillId="0" borderId="0" xfId="0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quotePrefix="1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0" fillId="0" borderId="0" xfId="0" quotePrefix="1">
      <alignment vertical="center"/>
    </xf>
    <xf numFmtId="3" fontId="0" fillId="0" borderId="0" xfId="0" applyNumberFormat="1" applyAlignment="1">
      <alignment horizontal="left"/>
    </xf>
    <xf numFmtId="164" fontId="0" fillId="0" borderId="11" xfId="0" applyNumberFormat="1" applyBorder="1" applyAlignment="1">
      <alignment horizontal="left"/>
    </xf>
    <xf numFmtId="164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>
      <alignment vertical="center"/>
    </xf>
    <xf numFmtId="164" fontId="0" fillId="0" borderId="10" xfId="0" applyNumberFormat="1" applyBorder="1">
      <alignment vertic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164" fontId="3" fillId="0" borderId="0" xfId="0" applyFont="1">
      <alignment vertical="center"/>
    </xf>
    <xf numFmtId="3" fontId="2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0" fillId="0" borderId="1" xfId="0" applyBorder="1" applyAlignment="1">
      <alignment horizontal="right"/>
    </xf>
    <xf numFmtId="164" fontId="0" fillId="0" borderId="4" xfId="0" applyBorder="1">
      <alignment vertical="center"/>
    </xf>
    <xf numFmtId="164" fontId="0" fillId="0" borderId="2" xfId="0" applyBorder="1">
      <alignment vertical="center"/>
    </xf>
    <xf numFmtId="164" fontId="0" fillId="0" borderId="8" xfId="0" applyBorder="1" applyAlignment="1">
      <alignment horizontal="right"/>
    </xf>
    <xf numFmtId="164" fontId="0" fillId="0" borderId="9" xfId="0" applyBorder="1">
      <alignment vertical="center"/>
    </xf>
    <xf numFmtId="164" fontId="0" fillId="0" borderId="3" xfId="0" applyBorder="1">
      <alignment vertical="center"/>
    </xf>
    <xf numFmtId="164" fontId="0" fillId="0" borderId="0" xfId="0" applyAlignment="1">
      <alignment horizontal="left"/>
    </xf>
    <xf numFmtId="4" fontId="0" fillId="0" borderId="0" xfId="0" applyNumberFormat="1" applyAlignment="1">
      <alignment horizontal="left" vertical="center"/>
    </xf>
    <xf numFmtId="164" fontId="2" fillId="0" borderId="5" xfId="0" applyFont="1" applyBorder="1" applyAlignment="1">
      <alignment horizontal="center"/>
    </xf>
    <xf numFmtId="164" fontId="2" fillId="0" borderId="0" xfId="0" applyFont="1">
      <alignment vertical="center"/>
    </xf>
    <xf numFmtId="166" fontId="0" fillId="0" borderId="0" xfId="0" applyNumberFormat="1" applyBorder="1" applyAlignment="1">
      <alignment horizontal="center"/>
    </xf>
    <xf numFmtId="164" fontId="2" fillId="0" borderId="0" xfId="0" applyFont="1" applyBorder="1">
      <alignment vertical="center"/>
    </xf>
    <xf numFmtId="164" fontId="0" fillId="0" borderId="1" xfId="0" applyBorder="1">
      <alignment vertical="center"/>
    </xf>
    <xf numFmtId="164" fontId="0" fillId="0" borderId="6" xfId="0" applyBorder="1">
      <alignment vertical="center"/>
    </xf>
    <xf numFmtId="164" fontId="0" fillId="0" borderId="7" xfId="0" applyBorder="1">
      <alignment vertical="center"/>
    </xf>
    <xf numFmtId="164" fontId="0" fillId="0" borderId="8" xfId="0" applyBorder="1">
      <alignment vertical="center"/>
    </xf>
    <xf numFmtId="164" fontId="3" fillId="0" borderId="0" xfId="0" applyFont="1" applyBorder="1">
      <alignment vertical="center"/>
    </xf>
    <xf numFmtId="164" fontId="0" fillId="0" borderId="0" xfId="0" quotePrefix="1" applyBorder="1">
      <alignment vertical="center"/>
    </xf>
    <xf numFmtId="164" fontId="1" fillId="0" borderId="0" xfId="0" applyFont="1" applyAlignment="1">
      <alignment horizontal="right" vertical="center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 vertical="center"/>
    </xf>
    <xf numFmtId="164" fontId="2" fillId="0" borderId="0" xfId="0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/>
    </xf>
    <xf numFmtId="164" fontId="0" fillId="0" borderId="1" xfId="0" applyBorder="1" applyAlignment="1">
      <alignment horizontal="left"/>
    </xf>
    <xf numFmtId="3" fontId="0" fillId="0" borderId="4" xfId="0" quotePrefix="1" applyNumberFormat="1" applyBorder="1" applyAlignment="1">
      <alignment horizontal="left"/>
    </xf>
    <xf numFmtId="164" fontId="0" fillId="0" borderId="8" xfId="0" applyBorder="1" applyAlignment="1">
      <alignment horizontal="left"/>
    </xf>
    <xf numFmtId="164" fontId="0" fillId="0" borderId="9" xfId="0" quotePrefix="1" applyBorder="1">
      <alignment vertical="center"/>
    </xf>
    <xf numFmtId="164" fontId="0" fillId="0" borderId="6" xfId="0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Border="1" applyAlignment="1">
      <alignment horizontal="center"/>
    </xf>
    <xf numFmtId="164" fontId="2" fillId="0" borderId="5" xfId="0" applyFont="1" applyBorder="1">
      <alignment vertical="center"/>
    </xf>
    <xf numFmtId="164" fontId="0" fillId="0" borderId="1" xfId="0" applyBorder="1" applyAlignment="1">
      <alignment horizontal="center"/>
    </xf>
    <xf numFmtId="3" fontId="0" fillId="0" borderId="2" xfId="0" quotePrefix="1" applyNumberFormat="1" applyBorder="1" applyAlignment="1">
      <alignment horizontal="left"/>
    </xf>
    <xf numFmtId="164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left"/>
    </xf>
    <xf numFmtId="164" fontId="0" fillId="0" borderId="3" xfId="0" quotePrefix="1" applyBorder="1">
      <alignment vertical="center"/>
    </xf>
    <xf numFmtId="164" fontId="3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164" fontId="0" fillId="0" borderId="2" xfId="0" applyFont="1" applyBorder="1">
      <alignment vertical="center"/>
    </xf>
    <xf numFmtId="3" fontId="0" fillId="0" borderId="9" xfId="0" applyNumberFormat="1" applyBorder="1" applyAlignment="1">
      <alignment horizontal="right"/>
    </xf>
    <xf numFmtId="164" fontId="0" fillId="0" borderId="3" xfId="0" applyFont="1" applyBorder="1">
      <alignment vertical="center"/>
    </xf>
    <xf numFmtId="3" fontId="0" fillId="2" borderId="0" xfId="0" quotePrefix="1" applyNumberFormat="1" applyFill="1" applyAlignment="1">
      <alignment horizontal="center"/>
    </xf>
    <xf numFmtId="164" fontId="1" fillId="0" borderId="0" xfId="0" applyNumberFormat="1" applyFont="1" applyAlignment="1">
      <alignment horizontal="left"/>
    </xf>
    <xf numFmtId="164" fontId="3" fillId="0" borderId="0" xfId="0" applyNumberFormat="1" applyFont="1">
      <alignment vertical="center"/>
    </xf>
    <xf numFmtId="164" fontId="0" fillId="0" borderId="0" xfId="0" quotePrefix="1" applyNumberFormat="1">
      <alignment vertical="center"/>
    </xf>
    <xf numFmtId="3" fontId="0" fillId="2" borderId="0" xfId="0" applyNumberFormat="1" applyFill="1">
      <alignment vertical="center"/>
    </xf>
    <xf numFmtId="164" fontId="0" fillId="2" borderId="0" xfId="0" applyNumberFormat="1" applyFill="1">
      <alignment vertical="center"/>
    </xf>
    <xf numFmtId="164" fontId="1" fillId="0" borderId="0" xfId="0" applyNumberFormat="1" applyFont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3" fontId="0" fillId="0" borderId="0" xfId="0" quotePrefix="1" applyNumberFormat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3" fontId="2" fillId="0" borderId="0" xfId="0" quotePrefix="1" applyNumberFormat="1" applyFont="1" applyAlignment="1">
      <alignment horizontal="center"/>
    </xf>
    <xf numFmtId="164" fontId="1" fillId="0" borderId="0" xfId="0" quotePrefix="1" applyNumberFormat="1" applyFont="1" applyAlignment="1">
      <alignment horizontal="right"/>
    </xf>
    <xf numFmtId="165" fontId="0" fillId="2" borderId="0" xfId="0" applyNumberFormat="1" applyFill="1">
      <alignment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164" fontId="2" fillId="0" borderId="16" xfId="0" applyNumberFormat="1" applyFont="1" applyBorder="1" applyAlignment="1">
      <alignment horizontal="left"/>
    </xf>
    <xf numFmtId="164" fontId="0" fillId="0" borderId="17" xfId="0" applyNumberFormat="1" applyBorder="1">
      <alignment vertical="center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12" xfId="0" applyNumberFormat="1" applyBorder="1">
      <alignment vertical="center"/>
    </xf>
    <xf numFmtId="164" fontId="0" fillId="0" borderId="11" xfId="0" applyNumberFormat="1" applyBorder="1">
      <alignment vertical="center"/>
    </xf>
    <xf numFmtId="167" fontId="0" fillId="0" borderId="10" xfId="0" applyNumberFormat="1" applyBorder="1">
      <alignment vertical="center"/>
    </xf>
    <xf numFmtId="164" fontId="1" fillId="0" borderId="0" xfId="0" applyFont="1" applyFill="1" applyAlignment="1">
      <alignment horizontal="left" vertical="center"/>
    </xf>
    <xf numFmtId="164" fontId="3" fillId="0" borderId="0" xfId="0" applyFont="1" applyFill="1" applyAlignment="1">
      <alignment vertical="center"/>
    </xf>
    <xf numFmtId="164" fontId="1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8" fillId="0" borderId="5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right" vertical="center"/>
    </xf>
    <xf numFmtId="164" fontId="8" fillId="0" borderId="8" xfId="0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164" fontId="8" fillId="0" borderId="0" xfId="0" applyFont="1" applyFill="1" applyBorder="1" applyAlignment="1">
      <alignment vertical="center"/>
    </xf>
    <xf numFmtId="164" fontId="1" fillId="0" borderId="0" xfId="0" quotePrefix="1" applyFont="1" applyFill="1" applyAlignment="1">
      <alignment horizontal="right" vertical="center"/>
    </xf>
    <xf numFmtId="164" fontId="8" fillId="0" borderId="0" xfId="0" applyFont="1" applyFill="1" applyBorder="1" applyAlignment="1">
      <alignment horizontal="right" vertical="center"/>
    </xf>
    <xf numFmtId="164" fontId="0" fillId="0" borderId="0" xfId="0" applyFont="1" applyFill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0" fillId="0" borderId="10" xfId="0" applyFont="1" applyFill="1" applyBorder="1" applyAlignment="1">
      <alignment horizontal="left" vertical="center"/>
    </xf>
    <xf numFmtId="3" fontId="18" fillId="0" borderId="0" xfId="0" applyNumberFormat="1" applyFont="1" applyAlignment="1">
      <alignment horizontal="left" vertical="center"/>
    </xf>
    <xf numFmtId="164" fontId="0" fillId="0" borderId="0" xfId="0" quotePrefix="1" applyFont="1" applyFill="1" applyAlignment="1">
      <alignment vertical="center"/>
    </xf>
    <xf numFmtId="3" fontId="0" fillId="0" borderId="0" xfId="0" applyNumberFormat="1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3" fontId="0" fillId="0" borderId="0" xfId="0" quotePrefix="1" applyNumberFormat="1" applyFont="1" applyFill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right" vertical="center"/>
    </xf>
    <xf numFmtId="3" fontId="0" fillId="0" borderId="2" xfId="0" applyNumberFormat="1" applyFont="1" applyFill="1" applyBorder="1" applyAlignment="1">
      <alignment horizontal="left" vertical="center"/>
    </xf>
    <xf numFmtId="164" fontId="0" fillId="0" borderId="3" xfId="0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5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64" fontId="0" fillId="0" borderId="0" xfId="0" applyFont="1" applyFill="1" applyBorder="1" applyAlignment="1">
      <alignment horizontal="left" vertical="center"/>
    </xf>
    <xf numFmtId="3" fontId="0" fillId="0" borderId="0" xfId="0" quotePrefix="1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Font="1" applyFill="1" applyAlignment="1">
      <alignment horizontal="left" vertical="center"/>
    </xf>
    <xf numFmtId="164" fontId="0" fillId="0" borderId="12" xfId="0" applyFont="1" applyFill="1" applyBorder="1" applyAlignment="1">
      <alignment vertical="center"/>
    </xf>
    <xf numFmtId="164" fontId="0" fillId="0" borderId="11" xfId="0" applyFont="1" applyFill="1" applyBorder="1" applyAlignment="1">
      <alignment vertical="center"/>
    </xf>
    <xf numFmtId="165" fontId="0" fillId="0" borderId="0" xfId="0" applyNumberFormat="1" applyFont="1" applyFill="1" applyAlignment="1">
      <alignment horizontal="left" vertical="center"/>
    </xf>
    <xf numFmtId="165" fontId="0" fillId="0" borderId="0" xfId="0" quotePrefix="1" applyNumberFormat="1" applyFont="1" applyFill="1" applyAlignment="1">
      <alignment horizontal="left" vertical="center"/>
    </xf>
    <xf numFmtId="164" fontId="0" fillId="0" borderId="0" xfId="0" applyFont="1" applyFill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4" fontId="0" fillId="0" borderId="19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9" fontId="0" fillId="0" borderId="0" xfId="51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left" vertical="center"/>
    </xf>
    <xf numFmtId="164" fontId="0" fillId="0" borderId="6" xfId="0" applyFont="1" applyFill="1" applyBorder="1" applyAlignment="1">
      <alignment horizontal="right" vertical="center"/>
    </xf>
    <xf numFmtId="164" fontId="0" fillId="0" borderId="7" xfId="0" applyFont="1" applyFill="1" applyBorder="1" applyAlignment="1">
      <alignment horizontal="left" vertical="center"/>
    </xf>
    <xf numFmtId="164" fontId="0" fillId="0" borderId="8" xfId="0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vertical="center"/>
    </xf>
    <xf numFmtId="164" fontId="0" fillId="0" borderId="4" xfId="0" applyFont="1" applyFill="1" applyBorder="1" applyAlignment="1">
      <alignment horizontal="left" vertical="center"/>
    </xf>
    <xf numFmtId="164" fontId="0" fillId="0" borderId="6" xfId="0" applyFont="1" applyFill="1" applyBorder="1" applyAlignment="1">
      <alignment vertical="center"/>
    </xf>
    <xf numFmtId="164" fontId="0" fillId="0" borderId="8" xfId="0" applyFont="1" applyFill="1" applyBorder="1" applyAlignment="1">
      <alignment vertical="center"/>
    </xf>
    <xf numFmtId="164" fontId="0" fillId="0" borderId="9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right" vertical="center"/>
    </xf>
    <xf numFmtId="164" fontId="0" fillId="0" borderId="1" xfId="0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center" vertical="center"/>
    </xf>
    <xf numFmtId="3" fontId="0" fillId="0" borderId="0" xfId="0" quotePrefix="1" applyNumberFormat="1" applyFont="1" applyFill="1" applyAlignment="1">
      <alignment horizontal="center"/>
    </xf>
    <xf numFmtId="3" fontId="0" fillId="0" borderId="4" xfId="0" applyNumberFormat="1" applyFont="1" applyFill="1" applyBorder="1" applyAlignment="1">
      <alignment horizontal="left" vertical="center"/>
    </xf>
    <xf numFmtId="164" fontId="0" fillId="0" borderId="4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4" fontId="0" fillId="0" borderId="9" xfId="0" applyFont="1" applyFill="1" applyBorder="1" applyAlignment="1">
      <alignment horizontal="left" vertical="center"/>
    </xf>
    <xf numFmtId="164" fontId="0" fillId="0" borderId="9" xfId="0" applyFont="1" applyFill="1" applyBorder="1" applyAlignment="1">
      <alignment vertical="center"/>
    </xf>
    <xf numFmtId="164" fontId="0" fillId="0" borderId="3" xfId="0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0" fillId="0" borderId="0" xfId="0" quotePrefix="1" applyNumberForma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3" fontId="0" fillId="0" borderId="0" xfId="0" quotePrefix="1" applyNumberFormat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1" fillId="0" borderId="0" xfId="0" quotePrefix="1" applyNumberFormat="1" applyFont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5" xfId="0" applyNumberFormat="1" applyBorder="1">
      <alignment vertical="center"/>
    </xf>
    <xf numFmtId="164" fontId="2" fillId="0" borderId="5" xfId="0" applyNumberFormat="1" applyFont="1" applyBorder="1" applyAlignment="1">
      <alignment horizontal="right" vertical="center"/>
    </xf>
    <xf numFmtId="3" fontId="0" fillId="0" borderId="0" xfId="0" quotePrefix="1" applyNumberFormat="1">
      <alignment vertical="center"/>
    </xf>
    <xf numFmtId="164" fontId="0" fillId="0" borderId="1" xfId="0" applyNumberFormat="1" applyBorder="1">
      <alignment vertical="center"/>
    </xf>
    <xf numFmtId="164" fontId="23" fillId="0" borderId="4" xfId="0" applyNumberFormat="1" applyFont="1" applyBorder="1" applyAlignment="1">
      <alignment horizontal="right" vertical="center"/>
    </xf>
    <xf numFmtId="164" fontId="23" fillId="0" borderId="2" xfId="0" applyNumberFormat="1" applyFont="1" applyBorder="1" applyAlignment="1">
      <alignment horizontal="left" vertical="center"/>
    </xf>
    <xf numFmtId="164" fontId="0" fillId="0" borderId="8" xfId="0" applyNumberFormat="1" applyBorder="1">
      <alignment vertical="center"/>
    </xf>
    <xf numFmtId="164" fontId="22" fillId="0" borderId="9" xfId="0" applyNumberFormat="1" applyFont="1" applyFill="1" applyBorder="1" applyAlignment="1">
      <alignment horizontal="right" vertical="center"/>
    </xf>
    <xf numFmtId="164" fontId="25" fillId="0" borderId="3" xfId="0" applyNumberFormat="1" applyFont="1" applyBorder="1" applyAlignment="1">
      <alignment horizontal="left" vertical="center"/>
    </xf>
    <xf numFmtId="164" fontId="2" fillId="0" borderId="5" xfId="0" applyNumberFormat="1" applyFont="1" applyBorder="1">
      <alignment vertical="center"/>
    </xf>
    <xf numFmtId="164" fontId="25" fillId="0" borderId="1" xfId="0" applyNumberFormat="1" applyFont="1" applyBorder="1">
      <alignment vertical="center"/>
    </xf>
    <xf numFmtId="164" fontId="0" fillId="0" borderId="0" xfId="0" applyNumberForma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0" fillId="0" borderId="12" xfId="0" applyNumberFormat="1" applyBorder="1" applyAlignment="1">
      <alignment vertical="center"/>
    </xf>
    <xf numFmtId="164" fontId="22" fillId="0" borderId="4" xfId="0" applyNumberFormat="1" applyFont="1" applyBorder="1" applyAlignment="1">
      <alignment horizontal="right" vertical="center"/>
    </xf>
    <xf numFmtId="164" fontId="25" fillId="0" borderId="2" xfId="0" applyNumberFormat="1" applyFont="1" applyBorder="1" applyAlignment="1">
      <alignment horizontal="left" vertical="center"/>
    </xf>
    <xf numFmtId="164" fontId="23" fillId="0" borderId="9" xfId="0" applyNumberFormat="1" applyFont="1" applyFill="1" applyBorder="1" applyAlignment="1">
      <alignment horizontal="right" vertical="center"/>
    </xf>
    <xf numFmtId="164" fontId="23" fillId="0" borderId="3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9" fontId="0" fillId="0" borderId="0" xfId="5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0" fillId="0" borderId="7" xfId="0" applyNumberForma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164" fontId="0" fillId="0" borderId="11" xfId="0" applyNumberFormat="1" applyBorder="1" applyAlignment="1">
      <alignment vertical="center"/>
    </xf>
    <xf numFmtId="164" fontId="0" fillId="0" borderId="0" xfId="0" quotePrefix="1" applyNumberFormat="1" applyAlignment="1">
      <alignment horizontal="right" vertical="center"/>
    </xf>
    <xf numFmtId="164" fontId="2" fillId="0" borderId="0" xfId="0" quotePrefix="1" applyNumberFormat="1" applyFont="1">
      <alignment vertical="center"/>
    </xf>
    <xf numFmtId="164" fontId="2" fillId="0" borderId="0" xfId="0" applyNumberFormat="1" applyFont="1">
      <alignment vertical="center"/>
    </xf>
    <xf numFmtId="164" fontId="8" fillId="0" borderId="0" xfId="0" applyNumberFormat="1" applyFont="1">
      <alignment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quotePrefix="1" applyNumberFormat="1" applyBorder="1">
      <alignment vertical="center"/>
    </xf>
    <xf numFmtId="3" fontId="0" fillId="0" borderId="11" xfId="0" applyNumberFormat="1" applyBorder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164" fontId="18" fillId="0" borderId="0" xfId="0" applyNumberFormat="1" applyFont="1">
      <alignment vertical="center"/>
    </xf>
    <xf numFmtId="164" fontId="16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164" fontId="18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left" vertical="center"/>
    </xf>
    <xf numFmtId="9" fontId="18" fillId="0" borderId="0" xfId="51" applyFont="1" applyBorder="1" applyAlignment="1">
      <alignment horizontal="left"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left" vertical="center"/>
    </xf>
    <xf numFmtId="164" fontId="18" fillId="0" borderId="2" xfId="0" applyNumberFormat="1" applyFont="1" applyBorder="1" applyAlignment="1">
      <alignment horizontal="left" vertical="center"/>
    </xf>
    <xf numFmtId="164" fontId="18" fillId="0" borderId="6" xfId="0" applyNumberFormat="1" applyFont="1" applyBorder="1" applyAlignment="1">
      <alignment horizontal="right" vertical="center"/>
    </xf>
    <xf numFmtId="164" fontId="18" fillId="0" borderId="7" xfId="0" applyNumberFormat="1" applyFont="1" applyBorder="1" applyAlignment="1">
      <alignment horizontal="left" vertical="center"/>
    </xf>
    <xf numFmtId="164" fontId="18" fillId="0" borderId="8" xfId="0" applyNumberFormat="1" applyFont="1" applyBorder="1" applyAlignment="1">
      <alignment horizontal="right" vertical="center"/>
    </xf>
    <xf numFmtId="164" fontId="18" fillId="0" borderId="3" xfId="0" applyNumberFormat="1" applyFont="1" applyBorder="1" applyAlignment="1">
      <alignment horizontal="left" vertical="center"/>
    </xf>
    <xf numFmtId="164" fontId="0" fillId="0" borderId="0" xfId="0" quotePrefix="1" applyNumberFormat="1" applyAlignment="1">
      <alignment horizontal="left" vertical="center"/>
    </xf>
    <xf numFmtId="164" fontId="0" fillId="0" borderId="8" xfId="0" applyFont="1" applyFill="1" applyBorder="1" applyAlignment="1">
      <alignment horizontal="right" vertical="center"/>
    </xf>
    <xf numFmtId="164" fontId="0" fillId="0" borderId="9" xfId="0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horizontal="right" vertical="center"/>
    </xf>
    <xf numFmtId="164" fontId="0" fillId="0" borderId="4" xfId="0" applyFont="1" applyFill="1" applyBorder="1" applyAlignment="1">
      <alignment horizontal="right" vertical="center"/>
    </xf>
    <xf numFmtId="164" fontId="0" fillId="0" borderId="6" xfId="0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right" vertical="center"/>
    </xf>
    <xf numFmtId="164" fontId="15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</cellXfs>
  <cellStyles count="5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Percent" xfId="5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4" Type="http://schemas.openxmlformats.org/officeDocument/2006/relationships/image" Target="../media/image5.emf"/><Relationship Id="rId5" Type="http://schemas.openxmlformats.org/officeDocument/2006/relationships/image" Target="../media/image6.emf"/><Relationship Id="rId6" Type="http://schemas.openxmlformats.org/officeDocument/2006/relationships/image" Target="../media/image7.emf"/><Relationship Id="rId7" Type="http://schemas.openxmlformats.org/officeDocument/2006/relationships/image" Target="../media/image8.emf"/><Relationship Id="rId8" Type="http://schemas.openxmlformats.org/officeDocument/2006/relationships/image" Target="../media/image9.emf"/><Relationship Id="rId1" Type="http://schemas.openxmlformats.org/officeDocument/2006/relationships/image" Target="../media/image2.emf"/><Relationship Id="rId2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2</xdr:col>
          <xdr:colOff>1092200</xdr:colOff>
          <xdr:row>8</xdr:row>
          <xdr:rowOff>25400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372</xdr:row>
      <xdr:rowOff>33866</xdr:rowOff>
    </xdr:from>
    <xdr:to>
      <xdr:col>3</xdr:col>
      <xdr:colOff>312652</xdr:colOff>
      <xdr:row>384</xdr:row>
      <xdr:rowOff>135466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1" y="65349966"/>
          <a:ext cx="2497051" cy="208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318</xdr:row>
      <xdr:rowOff>33866</xdr:rowOff>
    </xdr:from>
    <xdr:to>
      <xdr:col>2</xdr:col>
      <xdr:colOff>945573</xdr:colOff>
      <xdr:row>330</xdr:row>
      <xdr:rowOff>135466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901" y="55202666"/>
          <a:ext cx="2533072" cy="20828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20</xdr:row>
      <xdr:rowOff>1</xdr:rowOff>
    </xdr:from>
    <xdr:to>
      <xdr:col>2</xdr:col>
      <xdr:colOff>794866</xdr:colOff>
      <xdr:row>32</xdr:row>
      <xdr:rowOff>25402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1" y="3429001"/>
          <a:ext cx="2433165" cy="2006601"/>
        </a:xfrm>
        <a:prstGeom prst="rect">
          <a:avLst/>
        </a:prstGeom>
      </xdr:spPr>
    </xdr:pic>
    <xdr:clientData/>
  </xdr:twoCellAnchor>
  <xdr:twoCellAnchor editAs="oneCell">
    <xdr:from>
      <xdr:col>0</xdr:col>
      <xdr:colOff>1185332</xdr:colOff>
      <xdr:row>40</xdr:row>
      <xdr:rowOff>2</xdr:rowOff>
    </xdr:from>
    <xdr:to>
      <xdr:col>2</xdr:col>
      <xdr:colOff>809181</xdr:colOff>
      <xdr:row>48</xdr:row>
      <xdr:rowOff>139702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2" y="6807202"/>
          <a:ext cx="2443249" cy="176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1185332</xdr:colOff>
      <xdr:row>59</xdr:row>
      <xdr:rowOff>0</xdr:rowOff>
    </xdr:from>
    <xdr:to>
      <xdr:col>2</xdr:col>
      <xdr:colOff>809181</xdr:colOff>
      <xdr:row>67</xdr:row>
      <xdr:rowOff>5080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85332" y="10172700"/>
          <a:ext cx="2443249" cy="16306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794865</xdr:colOff>
      <xdr:row>111</xdr:row>
      <xdr:rowOff>101600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17259300"/>
          <a:ext cx="2433165" cy="2082800"/>
        </a:xfrm>
        <a:prstGeom prst="rect">
          <a:avLst/>
        </a:prstGeom>
      </xdr:spPr>
    </xdr:pic>
    <xdr:clientData/>
  </xdr:twoCellAnchor>
  <xdr:twoCellAnchor editAs="oneCell">
    <xdr:from>
      <xdr:col>1</xdr:col>
      <xdr:colOff>8468</xdr:colOff>
      <xdr:row>118</xdr:row>
      <xdr:rowOff>160868</xdr:rowOff>
    </xdr:from>
    <xdr:to>
      <xdr:col>2</xdr:col>
      <xdr:colOff>790633</xdr:colOff>
      <xdr:row>127</xdr:row>
      <xdr:rowOff>76278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89568" y="20658668"/>
          <a:ext cx="2420465" cy="1706110"/>
        </a:xfrm>
        <a:prstGeom prst="rect">
          <a:avLst/>
        </a:prstGeom>
      </xdr:spPr>
    </xdr:pic>
    <xdr:clientData/>
  </xdr:twoCellAnchor>
  <xdr:twoCellAnchor editAs="oneCell">
    <xdr:from>
      <xdr:col>1</xdr:col>
      <xdr:colOff>8467</xdr:colOff>
      <xdr:row>178</xdr:row>
      <xdr:rowOff>169333</xdr:rowOff>
    </xdr:from>
    <xdr:to>
      <xdr:col>2</xdr:col>
      <xdr:colOff>790632</xdr:colOff>
      <xdr:row>191</xdr:row>
      <xdr:rowOff>101598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89567" y="31271633"/>
          <a:ext cx="2420465" cy="2078565"/>
        </a:xfrm>
        <a:prstGeom prst="rect">
          <a:avLst/>
        </a:prstGeom>
      </xdr:spPr>
    </xdr:pic>
    <xdr:clientData/>
  </xdr:twoCellAnchor>
  <xdr:twoCellAnchor editAs="oneCell">
    <xdr:from>
      <xdr:col>1</xdr:col>
      <xdr:colOff>8467</xdr:colOff>
      <xdr:row>199</xdr:row>
      <xdr:rowOff>3</xdr:rowOff>
    </xdr:from>
    <xdr:to>
      <xdr:col>2</xdr:col>
      <xdr:colOff>790632</xdr:colOff>
      <xdr:row>207</xdr:row>
      <xdr:rowOff>84747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89567" y="34671003"/>
          <a:ext cx="2420465" cy="1710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topLeftCell="A216" zoomScale="125" workbookViewId="0">
      <selection activeCell="G178" sqref="G178"/>
    </sheetView>
  </sheetViews>
  <sheetFormatPr baseColWidth="10" defaultRowHeight="13" x14ac:dyDescent="0"/>
  <cols>
    <col min="1" max="1" width="10.7109375" style="20"/>
    <col min="2" max="2" width="14" style="5" customWidth="1"/>
    <col min="3" max="4" width="10.85546875" style="5" customWidth="1"/>
    <col min="5" max="5" width="12.140625" style="5" customWidth="1"/>
    <col min="6" max="6" width="14.85546875" style="5" customWidth="1"/>
    <col min="7" max="11" width="10.85546875" style="5" customWidth="1"/>
    <col min="12" max="16" width="10.140625" style="1" customWidth="1"/>
    <col min="17" max="17" width="7.7109375" style="1" customWidth="1"/>
    <col min="18" max="16384" width="10.7109375" style="1"/>
  </cols>
  <sheetData>
    <row r="1" spans="1:3" s="3" customFormat="1">
      <c r="A1" s="30" t="s">
        <v>0</v>
      </c>
    </row>
    <row r="2" spans="1:3" s="3" customFormat="1">
      <c r="A2" s="28" t="s">
        <v>1</v>
      </c>
    </row>
    <row r="3" spans="1:3" s="3" customFormat="1">
      <c r="A3" s="28" t="s">
        <v>2</v>
      </c>
    </row>
    <row r="4" spans="1:3" s="3" customFormat="1">
      <c r="A4" s="5" t="s">
        <v>3</v>
      </c>
    </row>
    <row r="5" spans="1:3" s="3" customFormat="1">
      <c r="A5" s="31"/>
    </row>
    <row r="6" spans="1:3" s="3" customFormat="1">
      <c r="A6" s="30" t="s">
        <v>4</v>
      </c>
      <c r="B6" s="32"/>
    </row>
    <row r="7" spans="1:3" s="3" customFormat="1">
      <c r="A7" s="33"/>
      <c r="B7" s="3" t="s">
        <v>5</v>
      </c>
    </row>
    <row r="8" spans="1:3" s="3" customFormat="1">
      <c r="A8" s="34"/>
      <c r="B8" s="3" t="s">
        <v>6</v>
      </c>
    </row>
    <row r="9" spans="1:3" s="3" customFormat="1">
      <c r="A9" s="34"/>
      <c r="C9" s="3" t="s">
        <v>7</v>
      </c>
    </row>
    <row r="10" spans="1:3" s="3" customFormat="1">
      <c r="A10" s="34"/>
      <c r="C10" s="3" t="s">
        <v>8</v>
      </c>
    </row>
    <row r="11" spans="1:3" s="3" customFormat="1">
      <c r="A11" s="34"/>
    </row>
    <row r="12" spans="1:3" s="3" customFormat="1">
      <c r="A12" s="33"/>
      <c r="B12" s="3" t="s">
        <v>9</v>
      </c>
    </row>
    <row r="13" spans="1:3" s="3" customFormat="1">
      <c r="A13" s="34"/>
      <c r="C13" s="3" t="s">
        <v>10</v>
      </c>
    </row>
    <row r="14" spans="1:3" s="3" customFormat="1">
      <c r="A14" s="34"/>
      <c r="C14" s="3" t="s">
        <v>11</v>
      </c>
    </row>
    <row r="15" spans="1:3" s="3" customFormat="1">
      <c r="A15" s="34"/>
    </row>
    <row r="16" spans="1:3" s="3" customFormat="1">
      <c r="A16" s="33"/>
      <c r="B16" s="3" t="s">
        <v>12</v>
      </c>
    </row>
    <row r="17" spans="1:3" s="3" customFormat="1">
      <c r="A17" s="34"/>
      <c r="C17" s="3" t="s">
        <v>13</v>
      </c>
    </row>
    <row r="18" spans="1:3" s="3" customFormat="1">
      <c r="A18" s="34"/>
      <c r="C18" s="3" t="s">
        <v>14</v>
      </c>
    </row>
    <row r="19" spans="1:3" s="3" customFormat="1">
      <c r="A19" s="34"/>
    </row>
    <row r="20" spans="1:3" s="3" customFormat="1">
      <c r="A20" s="33"/>
      <c r="B20" s="3" t="s">
        <v>15</v>
      </c>
    </row>
    <row r="21" spans="1:3" s="3" customFormat="1">
      <c r="A21" s="34"/>
      <c r="C21" s="3" t="s">
        <v>16</v>
      </c>
    </row>
    <row r="22" spans="1:3" s="3" customFormat="1">
      <c r="A22" s="34"/>
      <c r="C22" s="3" t="s">
        <v>17</v>
      </c>
    </row>
    <row r="23" spans="1:3" s="3" customFormat="1">
      <c r="A23" s="34"/>
    </row>
    <row r="24" spans="1:3" s="3" customFormat="1">
      <c r="A24" s="33"/>
      <c r="B24" s="12" t="s">
        <v>18</v>
      </c>
      <c r="C24" s="12"/>
    </row>
    <row r="25" spans="1:3" s="3" customFormat="1">
      <c r="A25" s="31"/>
      <c r="C25" s="12" t="s">
        <v>19</v>
      </c>
    </row>
    <row r="26" spans="1:3" s="3" customFormat="1">
      <c r="A26" s="31"/>
      <c r="C26" s="12" t="s">
        <v>20</v>
      </c>
    </row>
    <row r="27" spans="1:3" s="3" customFormat="1">
      <c r="A27" s="31"/>
    </row>
    <row r="28" spans="1:3" s="3" customFormat="1">
      <c r="A28" s="31"/>
      <c r="B28" s="4"/>
    </row>
    <row r="29" spans="1:3" s="3" customFormat="1">
      <c r="A29" s="30" t="s">
        <v>21</v>
      </c>
      <c r="B29" s="32" t="s">
        <v>22</v>
      </c>
      <c r="C29" s="22"/>
    </row>
    <row r="30" spans="1:3" s="3" customFormat="1">
      <c r="A30" s="31"/>
      <c r="B30" s="28">
        <v>36</v>
      </c>
      <c r="C30" s="3" t="s">
        <v>23</v>
      </c>
    </row>
    <row r="31" spans="1:3" s="3" customFormat="1" ht="15">
      <c r="A31" s="31"/>
      <c r="B31" s="12">
        <v>0.5</v>
      </c>
      <c r="C31" s="3" t="s">
        <v>24</v>
      </c>
    </row>
    <row r="32" spans="1:3" s="3" customFormat="1">
      <c r="A32" s="31"/>
      <c r="B32" s="28">
        <v>26</v>
      </c>
      <c r="C32" s="3" t="s">
        <v>25</v>
      </c>
    </row>
    <row r="33" spans="1:5" s="3" customFormat="1">
      <c r="A33" s="31"/>
      <c r="B33" s="28"/>
    </row>
    <row r="34" spans="1:5" s="3" customFormat="1" ht="14" thickBot="1">
      <c r="A34" s="31"/>
      <c r="C34" s="22"/>
    </row>
    <row r="35" spans="1:5" s="3" customFormat="1" ht="15">
      <c r="A35" s="31" t="s">
        <v>26</v>
      </c>
      <c r="B35" s="35" t="s">
        <v>27</v>
      </c>
      <c r="C35" s="36" t="s">
        <v>28</v>
      </c>
      <c r="D35" s="36"/>
      <c r="E35" s="37"/>
    </row>
    <row r="36" spans="1:5" s="3" customFormat="1" ht="16" thickBot="1">
      <c r="A36" s="31"/>
      <c r="B36" s="38" t="s">
        <v>29</v>
      </c>
      <c r="C36" s="39" t="s">
        <v>30</v>
      </c>
      <c r="D36" s="39"/>
      <c r="E36" s="40"/>
    </row>
    <row r="37" spans="1:5" s="3" customFormat="1">
      <c r="A37" s="31"/>
      <c r="B37" s="14"/>
      <c r="C37" s="41"/>
    </row>
    <row r="38" spans="1:5" s="3" customFormat="1">
      <c r="A38" s="31"/>
      <c r="B38" s="17" t="s">
        <v>31</v>
      </c>
      <c r="C38" s="42">
        <v>0.05</v>
      </c>
    </row>
    <row r="39" spans="1:5" s="3" customFormat="1">
      <c r="A39" s="31"/>
      <c r="B39" s="5"/>
    </row>
    <row r="40" spans="1:5" s="3" customFormat="1">
      <c r="A40" s="31"/>
      <c r="B40" s="25" t="s">
        <v>32</v>
      </c>
      <c r="C40" s="25" t="s">
        <v>33</v>
      </c>
      <c r="D40" s="43" t="s">
        <v>34</v>
      </c>
    </row>
    <row r="41" spans="1:5" s="3" customFormat="1">
      <c r="A41" s="31"/>
      <c r="B41" s="26">
        <v>0</v>
      </c>
      <c r="C41" s="27">
        <f>BINOMDIST(B41,$B$30,$B$31,FALSE)</f>
        <v>1.4551915228366858E-11</v>
      </c>
      <c r="D41" s="27">
        <v>1</v>
      </c>
      <c r="E41" s="44" t="s">
        <v>35</v>
      </c>
    </row>
    <row r="42" spans="1:5" s="3" customFormat="1">
      <c r="A42" s="31"/>
      <c r="B42" s="26">
        <v>1</v>
      </c>
      <c r="C42" s="27">
        <f t="shared" ref="C42:C77" si="0">BINOMDIST(B42,$B$30,$B$31,FALSE)</f>
        <v>5.238689482212047E-10</v>
      </c>
      <c r="D42" s="27">
        <f>D41-C41</f>
        <v>0.99999999998544808</v>
      </c>
      <c r="E42" s="44" t="s">
        <v>35</v>
      </c>
    </row>
    <row r="43" spans="1:5" s="3" customFormat="1">
      <c r="A43" s="31"/>
      <c r="B43" s="26">
        <v>2</v>
      </c>
      <c r="C43" s="27">
        <f t="shared" si="0"/>
        <v>9.1677065938711166E-9</v>
      </c>
      <c r="D43" s="27">
        <f t="shared" ref="D43:D77" si="1">D42-C42</f>
        <v>0.99999999946157914</v>
      </c>
      <c r="E43" s="44" t="s">
        <v>35</v>
      </c>
    </row>
    <row r="44" spans="1:5" s="3" customFormat="1">
      <c r="A44" s="31"/>
      <c r="B44" s="26">
        <v>3</v>
      </c>
      <c r="C44" s="27">
        <f t="shared" si="0"/>
        <v>1.0390067473053976E-7</v>
      </c>
      <c r="D44" s="27">
        <f t="shared" si="1"/>
        <v>0.99999999029387254</v>
      </c>
      <c r="E44" s="44" t="s">
        <v>35</v>
      </c>
    </row>
    <row r="45" spans="1:5" s="3" customFormat="1">
      <c r="A45" s="31"/>
      <c r="B45" s="26">
        <v>4</v>
      </c>
      <c r="C45" s="27">
        <f t="shared" si="0"/>
        <v>8.5718056652695174E-7</v>
      </c>
      <c r="D45" s="27">
        <f t="shared" si="1"/>
        <v>0.99999988639319781</v>
      </c>
      <c r="E45" s="44" t="s">
        <v>35</v>
      </c>
    </row>
    <row r="46" spans="1:5" s="3" customFormat="1">
      <c r="A46" s="31"/>
      <c r="B46" s="26">
        <v>5</v>
      </c>
      <c r="C46" s="27">
        <f t="shared" si="0"/>
        <v>5.4859556257724466E-6</v>
      </c>
      <c r="D46" s="27">
        <f t="shared" si="1"/>
        <v>0.99999902921263129</v>
      </c>
      <c r="E46" s="44" t="s">
        <v>35</v>
      </c>
    </row>
    <row r="47" spans="1:5" s="3" customFormat="1">
      <c r="A47" s="31"/>
      <c r="B47" s="26">
        <v>6</v>
      </c>
      <c r="C47" s="27">
        <f t="shared" si="0"/>
        <v>2.8344104066491066E-5</v>
      </c>
      <c r="D47" s="27">
        <f t="shared" si="1"/>
        <v>0.99999354325700551</v>
      </c>
      <c r="E47" s="44" t="s">
        <v>35</v>
      </c>
    </row>
    <row r="48" spans="1:5" s="3" customFormat="1">
      <c r="A48" s="31"/>
      <c r="B48" s="26">
        <v>7</v>
      </c>
      <c r="C48" s="27">
        <f t="shared" si="0"/>
        <v>1.2147473171353332E-4</v>
      </c>
      <c r="D48" s="27">
        <f t="shared" si="1"/>
        <v>0.99996519915293902</v>
      </c>
      <c r="E48" s="44" t="s">
        <v>35</v>
      </c>
    </row>
    <row r="49" spans="1:5" s="3" customFormat="1">
      <c r="A49" s="31"/>
      <c r="B49" s="26">
        <v>8</v>
      </c>
      <c r="C49" s="27">
        <f t="shared" si="0"/>
        <v>4.4034590246155853E-4</v>
      </c>
      <c r="D49" s="27">
        <f t="shared" si="1"/>
        <v>0.99984372442122549</v>
      </c>
      <c r="E49" s="44" t="s">
        <v>35</v>
      </c>
    </row>
    <row r="50" spans="1:5" s="3" customFormat="1">
      <c r="A50" s="31"/>
      <c r="B50" s="26">
        <v>9</v>
      </c>
      <c r="C50" s="27">
        <f t="shared" si="0"/>
        <v>1.3699650298804058E-3</v>
      </c>
      <c r="D50" s="27">
        <f t="shared" si="1"/>
        <v>0.99940337851876393</v>
      </c>
      <c r="E50" s="44" t="s">
        <v>35</v>
      </c>
    </row>
    <row r="51" spans="1:5" s="3" customFormat="1">
      <c r="A51" s="31"/>
      <c r="B51" s="26">
        <v>10</v>
      </c>
      <c r="C51" s="27">
        <f t="shared" si="0"/>
        <v>3.6989055806770947E-3</v>
      </c>
      <c r="D51" s="27">
        <f t="shared" si="1"/>
        <v>0.99803341348888353</v>
      </c>
      <c r="E51" s="44" t="s">
        <v>35</v>
      </c>
    </row>
    <row r="52" spans="1:5" s="3" customFormat="1">
      <c r="A52" s="31"/>
      <c r="B52" s="26">
        <v>11</v>
      </c>
      <c r="C52" s="27">
        <f t="shared" si="0"/>
        <v>8.7428677361458401E-3</v>
      </c>
      <c r="D52" s="27">
        <f t="shared" si="1"/>
        <v>0.99433450790820643</v>
      </c>
      <c r="E52" s="44" t="s">
        <v>35</v>
      </c>
    </row>
    <row r="53" spans="1:5" s="3" customFormat="1">
      <c r="A53" s="31"/>
      <c r="B53" s="26">
        <v>12</v>
      </c>
      <c r="C53" s="27">
        <f t="shared" si="0"/>
        <v>1.8214307783637178E-2</v>
      </c>
      <c r="D53" s="27">
        <f t="shared" si="1"/>
        <v>0.98559164017206058</v>
      </c>
      <c r="E53" s="44" t="s">
        <v>35</v>
      </c>
    </row>
    <row r="54" spans="1:5" s="3" customFormat="1">
      <c r="A54" s="31"/>
      <c r="B54" s="26">
        <v>13</v>
      </c>
      <c r="C54" s="27">
        <f t="shared" si="0"/>
        <v>3.3626414369791732E-2</v>
      </c>
      <c r="D54" s="27">
        <f t="shared" si="1"/>
        <v>0.96737733238842338</v>
      </c>
      <c r="E54" s="44" t="s">
        <v>35</v>
      </c>
    </row>
    <row r="55" spans="1:5" s="3" customFormat="1">
      <c r="A55" s="31"/>
      <c r="B55" s="26">
        <v>14</v>
      </c>
      <c r="C55" s="27">
        <f t="shared" si="0"/>
        <v>5.5243395036086454E-2</v>
      </c>
      <c r="D55" s="27">
        <f t="shared" si="1"/>
        <v>0.93375091801863164</v>
      </c>
      <c r="E55" s="44" t="s">
        <v>35</v>
      </c>
    </row>
    <row r="56" spans="1:5" s="3" customFormat="1">
      <c r="A56" s="31"/>
      <c r="B56" s="26">
        <v>15</v>
      </c>
      <c r="C56" s="27">
        <f t="shared" si="0"/>
        <v>8.1023646052926751E-2</v>
      </c>
      <c r="D56" s="27">
        <f t="shared" si="1"/>
        <v>0.8785075229825452</v>
      </c>
      <c r="E56" s="44" t="s">
        <v>35</v>
      </c>
    </row>
    <row r="57" spans="1:5" s="3" customFormat="1">
      <c r="A57" s="31"/>
      <c r="B57" s="26">
        <v>16</v>
      </c>
      <c r="C57" s="27">
        <f t="shared" si="0"/>
        <v>0.10634353544446641</v>
      </c>
      <c r="D57" s="27">
        <f t="shared" si="1"/>
        <v>0.79748387692961842</v>
      </c>
      <c r="E57" s="44" t="s">
        <v>35</v>
      </c>
    </row>
    <row r="58" spans="1:5" s="3" customFormat="1">
      <c r="A58" s="31"/>
      <c r="B58" s="26">
        <v>17</v>
      </c>
      <c r="C58" s="27">
        <f t="shared" si="0"/>
        <v>0.12511004169937223</v>
      </c>
      <c r="D58" s="27">
        <f t="shared" si="1"/>
        <v>0.69114034148515202</v>
      </c>
      <c r="E58" s="44" t="s">
        <v>35</v>
      </c>
    </row>
    <row r="59" spans="1:5" s="3" customFormat="1">
      <c r="A59" s="31"/>
      <c r="B59" s="26">
        <v>18</v>
      </c>
      <c r="C59" s="27">
        <f t="shared" si="0"/>
        <v>0.13206059957155958</v>
      </c>
      <c r="D59" s="27">
        <f t="shared" si="1"/>
        <v>0.56603029978577979</v>
      </c>
      <c r="E59" s="44" t="s">
        <v>35</v>
      </c>
    </row>
    <row r="60" spans="1:5" s="3" customFormat="1">
      <c r="A60" s="31"/>
      <c r="B60" s="26">
        <v>19</v>
      </c>
      <c r="C60" s="27">
        <f t="shared" si="0"/>
        <v>0.12511004169937223</v>
      </c>
      <c r="D60" s="27">
        <f t="shared" si="1"/>
        <v>0.43396970021422021</v>
      </c>
      <c r="E60" s="44" t="s">
        <v>35</v>
      </c>
    </row>
    <row r="61" spans="1:5" s="3" customFormat="1">
      <c r="A61" s="31"/>
      <c r="B61" s="15">
        <v>20</v>
      </c>
      <c r="C61" s="45">
        <f t="shared" si="0"/>
        <v>0.10634353544446641</v>
      </c>
      <c r="D61" s="45">
        <f t="shared" si="1"/>
        <v>0.30885965851484798</v>
      </c>
      <c r="E61" s="44" t="s">
        <v>35</v>
      </c>
    </row>
    <row r="62" spans="1:5" s="3" customFormat="1">
      <c r="A62" s="31"/>
      <c r="B62" s="26">
        <v>21</v>
      </c>
      <c r="C62" s="27">
        <f t="shared" si="0"/>
        <v>8.1023646052926751E-2</v>
      </c>
      <c r="D62" s="27">
        <f t="shared" si="1"/>
        <v>0.20251612307038158</v>
      </c>
      <c r="E62" s="44" t="s">
        <v>35</v>
      </c>
    </row>
    <row r="63" spans="1:5" s="3" customFormat="1">
      <c r="A63" s="31"/>
      <c r="B63" s="26">
        <v>22</v>
      </c>
      <c r="C63" s="27">
        <f t="shared" si="0"/>
        <v>5.5243395036086447E-2</v>
      </c>
      <c r="D63" s="27">
        <f t="shared" si="1"/>
        <v>0.12149247701745483</v>
      </c>
      <c r="E63" s="44" t="s">
        <v>35</v>
      </c>
    </row>
    <row r="64" spans="1:5" s="3" customFormat="1">
      <c r="A64" s="31"/>
      <c r="B64" s="15">
        <v>23</v>
      </c>
      <c r="C64" s="45">
        <f t="shared" si="0"/>
        <v>3.3626414369791732E-2</v>
      </c>
      <c r="D64" s="45">
        <f t="shared" si="1"/>
        <v>6.6249081981368391E-2</v>
      </c>
      <c r="E64" s="44" t="s">
        <v>35</v>
      </c>
    </row>
    <row r="65" spans="1:5" s="3" customFormat="1">
      <c r="A65" s="31"/>
      <c r="B65" s="26">
        <v>24</v>
      </c>
      <c r="C65" s="27">
        <f t="shared" si="0"/>
        <v>1.8214307783637178E-2</v>
      </c>
      <c r="D65" s="27">
        <f t="shared" si="1"/>
        <v>3.2622667611576658E-2</v>
      </c>
      <c r="E65" s="1" t="s">
        <v>36</v>
      </c>
    </row>
    <row r="66" spans="1:5" s="3" customFormat="1">
      <c r="A66" s="31"/>
      <c r="B66" s="15">
        <v>25</v>
      </c>
      <c r="C66" s="27">
        <f t="shared" si="0"/>
        <v>8.7428677361458401E-3</v>
      </c>
      <c r="D66" s="27">
        <f t="shared" si="1"/>
        <v>1.440835982793948E-2</v>
      </c>
      <c r="E66" s="46"/>
    </row>
    <row r="67" spans="1:5" s="3" customFormat="1">
      <c r="A67" s="31"/>
      <c r="B67" s="15">
        <v>26</v>
      </c>
      <c r="C67" s="45">
        <f t="shared" si="0"/>
        <v>3.6989055806770947E-3</v>
      </c>
      <c r="D67" s="45">
        <f t="shared" si="1"/>
        <v>5.6654920917936398E-3</v>
      </c>
      <c r="E67" s="46"/>
    </row>
    <row r="68" spans="1:5" s="3" customFormat="1">
      <c r="A68" s="31"/>
      <c r="B68" s="26">
        <v>27</v>
      </c>
      <c r="C68" s="27">
        <f t="shared" si="0"/>
        <v>1.3699650298804047E-3</v>
      </c>
      <c r="D68" s="27">
        <f t="shared" si="1"/>
        <v>1.9665865111165451E-3</v>
      </c>
    </row>
    <row r="69" spans="1:5" s="3" customFormat="1">
      <c r="A69" s="31"/>
      <c r="B69" s="26">
        <v>28</v>
      </c>
      <c r="C69" s="27">
        <f t="shared" si="0"/>
        <v>4.4034590246155896E-4</v>
      </c>
      <c r="D69" s="27">
        <f t="shared" si="1"/>
        <v>5.9662148123614043E-4</v>
      </c>
    </row>
    <row r="70" spans="1:5" s="3" customFormat="1">
      <c r="A70" s="31"/>
      <c r="B70" s="26">
        <v>29</v>
      </c>
      <c r="C70" s="27">
        <f t="shared" si="0"/>
        <v>1.2147473171353343E-4</v>
      </c>
      <c r="D70" s="27">
        <f t="shared" si="1"/>
        <v>1.5627557877458147E-4</v>
      </c>
    </row>
    <row r="71" spans="1:5" s="3" customFormat="1">
      <c r="A71" s="31"/>
      <c r="B71" s="26">
        <v>30</v>
      </c>
      <c r="C71" s="27">
        <f t="shared" si="0"/>
        <v>2.8344104066491117E-5</v>
      </c>
      <c r="D71" s="27">
        <f t="shared" si="1"/>
        <v>3.4800847061048046E-5</v>
      </c>
    </row>
    <row r="72" spans="1:5" s="3" customFormat="1">
      <c r="A72" s="31"/>
      <c r="B72" s="15">
        <v>31</v>
      </c>
      <c r="C72" s="27">
        <f t="shared" si="0"/>
        <v>5.4859556257724466E-6</v>
      </c>
      <c r="D72" s="27">
        <f t="shared" si="1"/>
        <v>6.4567429945569287E-6</v>
      </c>
    </row>
    <row r="73" spans="1:5" s="3" customFormat="1">
      <c r="A73" s="31"/>
      <c r="B73" s="15">
        <v>32</v>
      </c>
      <c r="C73" s="27">
        <f t="shared" si="0"/>
        <v>8.5718056652695174E-7</v>
      </c>
      <c r="D73" s="27">
        <f t="shared" si="1"/>
        <v>9.7078736878448211E-7</v>
      </c>
    </row>
    <row r="74" spans="1:5" s="3" customFormat="1">
      <c r="A74" s="31"/>
      <c r="B74" s="26">
        <v>33</v>
      </c>
      <c r="C74" s="27">
        <f t="shared" si="0"/>
        <v>1.0390067473053957E-7</v>
      </c>
      <c r="D74" s="27">
        <f t="shared" si="1"/>
        <v>1.1360680225753038E-7</v>
      </c>
    </row>
    <row r="75" spans="1:5" s="3" customFormat="1">
      <c r="A75" s="31"/>
      <c r="B75" s="26">
        <v>34</v>
      </c>
      <c r="C75" s="27">
        <f t="shared" si="0"/>
        <v>9.1677065938711166E-9</v>
      </c>
      <c r="D75" s="27">
        <f t="shared" si="1"/>
        <v>9.7061275269908044E-9</v>
      </c>
    </row>
    <row r="76" spans="1:5" s="3" customFormat="1">
      <c r="A76" s="31"/>
      <c r="B76" s="26">
        <v>35</v>
      </c>
      <c r="C76" s="27">
        <f t="shared" si="0"/>
        <v>5.2386894822120656E-10</v>
      </c>
      <c r="D76" s="27">
        <f t="shared" si="1"/>
        <v>5.3842093311968779E-10</v>
      </c>
    </row>
    <row r="77" spans="1:5" s="3" customFormat="1">
      <c r="A77" s="31"/>
      <c r="B77" s="15">
        <v>36</v>
      </c>
      <c r="C77" s="27">
        <f t="shared" si="0"/>
        <v>1.4551915228366858E-11</v>
      </c>
      <c r="D77" s="27">
        <f t="shared" si="1"/>
        <v>1.4551984898481228E-11</v>
      </c>
    </row>
    <row r="78" spans="1:5" s="3" customFormat="1">
      <c r="A78" s="31"/>
      <c r="B78" s="15"/>
      <c r="C78" s="27"/>
      <c r="D78" s="27"/>
    </row>
    <row r="79" spans="1:5" s="3" customFormat="1" ht="14" thickBot="1">
      <c r="A79" s="31"/>
    </row>
    <row r="80" spans="1:5" s="3" customFormat="1">
      <c r="A80" s="31" t="s">
        <v>37</v>
      </c>
      <c r="B80" s="47" t="s">
        <v>38</v>
      </c>
      <c r="C80" s="36"/>
      <c r="D80" s="36"/>
      <c r="E80" s="37"/>
    </row>
    <row r="81" spans="1:15" s="3" customFormat="1">
      <c r="A81" s="31"/>
      <c r="B81" s="48" t="s">
        <v>39</v>
      </c>
      <c r="C81" s="1"/>
      <c r="D81" s="1"/>
      <c r="E81" s="49"/>
    </row>
    <row r="82" spans="1:15" s="3" customFormat="1" ht="16" thickBot="1">
      <c r="A82" s="31"/>
      <c r="B82" s="50" t="s">
        <v>40</v>
      </c>
      <c r="C82" s="39"/>
      <c r="D82" s="39"/>
      <c r="E82" s="40"/>
    </row>
    <row r="83" spans="1:15" s="3" customFormat="1">
      <c r="A83" s="31"/>
      <c r="B83" s="1"/>
      <c r="C83" s="1"/>
      <c r="D83" s="1"/>
      <c r="E83" s="1"/>
    </row>
    <row r="84" spans="1:15" s="3" customFormat="1">
      <c r="A84" s="31"/>
    </row>
    <row r="85" spans="1:15" s="3" customFormat="1">
      <c r="A85" s="30" t="s">
        <v>41</v>
      </c>
      <c r="B85" s="32" t="s">
        <v>42</v>
      </c>
      <c r="C85" s="22"/>
      <c r="G85" s="51"/>
      <c r="H85" s="52"/>
      <c r="I85" s="1"/>
      <c r="J85" s="1"/>
      <c r="K85" s="1"/>
    </row>
    <row r="86" spans="1:15" s="3" customFormat="1">
      <c r="A86" s="53"/>
      <c r="B86" s="25" t="s">
        <v>43</v>
      </c>
      <c r="C86" s="25" t="s">
        <v>44</v>
      </c>
      <c r="D86" s="25" t="s">
        <v>45</v>
      </c>
      <c r="E86" s="25" t="s">
        <v>46</v>
      </c>
      <c r="F86" s="25" t="s">
        <v>47</v>
      </c>
      <c r="G86" s="54"/>
      <c r="H86" s="7"/>
      <c r="I86" s="55"/>
      <c r="J86" s="55"/>
      <c r="K86" s="1"/>
      <c r="L86" s="51"/>
      <c r="M86" s="52"/>
      <c r="N86" s="1"/>
      <c r="O86" s="1"/>
    </row>
    <row r="87" spans="1:15" s="3" customFormat="1">
      <c r="A87" s="53"/>
      <c r="B87" s="26">
        <v>1</v>
      </c>
      <c r="C87" s="56">
        <v>16</v>
      </c>
      <c r="D87" s="57">
        <v>12</v>
      </c>
      <c r="E87" s="58">
        <f t="shared" ref="E87:E95" si="2">IF(C87-D87=0, "", C87-D87)</f>
        <v>4</v>
      </c>
      <c r="F87" s="26" t="str">
        <f t="shared" ref="F87" si="3">IF(E87="","",IF(C87-D87&gt;0,"+", "-"))</f>
        <v>+</v>
      </c>
      <c r="G87" s="59"/>
      <c r="H87" s="60"/>
      <c r="I87" s="15"/>
      <c r="J87" s="15"/>
      <c r="K87" s="1"/>
      <c r="L87" s="55"/>
      <c r="M87" s="55"/>
      <c r="N87" s="55"/>
      <c r="O87" s="55"/>
    </row>
    <row r="88" spans="1:15" s="3" customFormat="1">
      <c r="A88" s="53"/>
      <c r="B88" s="26">
        <v>2</v>
      </c>
      <c r="C88" s="56">
        <v>17</v>
      </c>
      <c r="D88" s="57">
        <v>12</v>
      </c>
      <c r="E88" s="58">
        <f t="shared" si="2"/>
        <v>5</v>
      </c>
      <c r="F88" s="26" t="str">
        <f>IF(E88="","",IF(C88-D88&gt;0,"+", "-"))</f>
        <v>+</v>
      </c>
      <c r="G88" s="15"/>
      <c r="H88" s="18"/>
      <c r="I88" s="15"/>
      <c r="J88" s="15"/>
      <c r="K88" s="1"/>
      <c r="L88" s="15"/>
      <c r="M88" s="18"/>
      <c r="N88" s="15"/>
      <c r="O88" s="15"/>
    </row>
    <row r="89" spans="1:15" s="3" customFormat="1">
      <c r="A89" s="53"/>
      <c r="B89" s="26">
        <v>3</v>
      </c>
      <c r="C89" s="56">
        <v>19</v>
      </c>
      <c r="D89" s="57">
        <v>12</v>
      </c>
      <c r="E89" s="58">
        <f t="shared" si="2"/>
        <v>7</v>
      </c>
      <c r="F89" s="26" t="str">
        <f t="shared" ref="F89:F95" si="4">IF(E89="","",IF(C89-D89&gt;0,"+", "-"))</f>
        <v>+</v>
      </c>
      <c r="G89" s="15"/>
      <c r="H89" s="15"/>
      <c r="I89" s="15"/>
      <c r="J89" s="15"/>
      <c r="K89" s="1"/>
      <c r="L89" s="15"/>
      <c r="M89" s="18"/>
      <c r="N89" s="15"/>
      <c r="O89" s="15"/>
    </row>
    <row r="90" spans="1:15" s="3" customFormat="1">
      <c r="A90" s="53"/>
      <c r="B90" s="26">
        <v>4</v>
      </c>
      <c r="C90" s="56">
        <v>13</v>
      </c>
      <c r="D90" s="57">
        <v>6</v>
      </c>
      <c r="E90" s="58">
        <f t="shared" si="2"/>
        <v>7</v>
      </c>
      <c r="F90" s="26" t="str">
        <f t="shared" si="4"/>
        <v>+</v>
      </c>
      <c r="G90" s="15"/>
      <c r="H90" s="15"/>
      <c r="I90" s="15"/>
      <c r="J90" s="15"/>
      <c r="K90" s="1"/>
      <c r="L90" s="15"/>
      <c r="M90" s="15"/>
      <c r="N90" s="15"/>
      <c r="O90" s="15"/>
    </row>
    <row r="91" spans="1:15" s="3" customFormat="1">
      <c r="A91" s="53"/>
      <c r="B91" s="26">
        <v>5</v>
      </c>
      <c r="C91" s="56">
        <v>19</v>
      </c>
      <c r="D91" s="57">
        <v>14</v>
      </c>
      <c r="E91" s="58">
        <v>0</v>
      </c>
      <c r="F91" s="26"/>
      <c r="G91" s="15"/>
      <c r="H91" s="15"/>
      <c r="I91" s="15"/>
      <c r="J91" s="15"/>
      <c r="K91" s="1"/>
      <c r="L91" s="15"/>
      <c r="M91" s="16"/>
      <c r="N91" s="15"/>
      <c r="O91" s="15"/>
    </row>
    <row r="92" spans="1:15" s="3" customFormat="1">
      <c r="A92" s="53"/>
      <c r="B92" s="26">
        <v>6</v>
      </c>
      <c r="C92" s="56">
        <v>16</v>
      </c>
      <c r="D92" s="57">
        <v>16</v>
      </c>
      <c r="E92" s="58" t="str">
        <f t="shared" si="2"/>
        <v/>
      </c>
      <c r="F92" s="26" t="str">
        <f t="shared" si="4"/>
        <v/>
      </c>
      <c r="G92" s="15"/>
      <c r="H92" s="15"/>
      <c r="I92" s="15"/>
      <c r="J92" s="15"/>
      <c r="K92" s="1"/>
      <c r="L92" s="15"/>
      <c r="M92" s="15"/>
      <c r="N92" s="15"/>
      <c r="O92" s="15"/>
    </row>
    <row r="93" spans="1:15" s="3" customFormat="1">
      <c r="A93" s="53"/>
      <c r="B93" s="26">
        <v>7</v>
      </c>
      <c r="C93" s="56">
        <v>12</v>
      </c>
      <c r="D93" s="57">
        <v>9</v>
      </c>
      <c r="E93" s="58">
        <f t="shared" si="2"/>
        <v>3</v>
      </c>
      <c r="F93" s="26" t="str">
        <f t="shared" si="4"/>
        <v>+</v>
      </c>
      <c r="G93" s="1"/>
      <c r="H93" s="1"/>
      <c r="I93" s="1"/>
      <c r="J93" s="1"/>
      <c r="K93" s="1"/>
      <c r="L93" s="15"/>
      <c r="M93" s="15"/>
      <c r="N93" s="15"/>
      <c r="O93" s="15"/>
    </row>
    <row r="94" spans="1:15" s="3" customFormat="1">
      <c r="A94" s="53"/>
      <c r="B94" s="26">
        <v>8</v>
      </c>
      <c r="C94" s="56">
        <v>11</v>
      </c>
      <c r="D94" s="57">
        <v>8</v>
      </c>
      <c r="E94" s="58">
        <f t="shared" si="2"/>
        <v>3</v>
      </c>
      <c r="F94" s="26" t="str">
        <f t="shared" si="4"/>
        <v>+</v>
      </c>
      <c r="G94" s="1"/>
      <c r="H94" s="1"/>
      <c r="I94" s="1"/>
      <c r="J94" s="1"/>
      <c r="K94" s="1"/>
      <c r="L94" s="15"/>
      <c r="M94" s="15"/>
      <c r="N94" s="15"/>
      <c r="O94" s="15"/>
    </row>
    <row r="95" spans="1:15" s="3" customFormat="1">
      <c r="A95" s="53"/>
      <c r="B95" s="61">
        <v>9</v>
      </c>
      <c r="C95" s="62">
        <v>16</v>
      </c>
      <c r="D95" s="63">
        <v>9</v>
      </c>
      <c r="E95" s="58">
        <f t="shared" si="2"/>
        <v>7</v>
      </c>
      <c r="F95" s="26" t="str">
        <f t="shared" si="4"/>
        <v>+</v>
      </c>
      <c r="G95" s="15"/>
      <c r="H95" s="15"/>
      <c r="I95" s="1"/>
      <c r="J95" s="1"/>
      <c r="K95" s="1"/>
      <c r="L95" s="15"/>
      <c r="M95" s="15"/>
      <c r="N95" s="15"/>
      <c r="O95" s="15"/>
    </row>
    <row r="96" spans="1:15" s="3" customFormat="1">
      <c r="A96" s="53"/>
      <c r="B96" s="15"/>
      <c r="C96" s="16"/>
      <c r="D96" s="15"/>
      <c r="E96" s="15"/>
      <c r="F96" s="26"/>
      <c r="G96" s="15"/>
      <c r="H96" s="15"/>
      <c r="I96" s="1"/>
      <c r="J96" s="1"/>
      <c r="K96" s="1"/>
      <c r="L96" s="15"/>
      <c r="M96" s="15"/>
      <c r="N96" s="15"/>
      <c r="O96" s="15"/>
    </row>
    <row r="97" spans="1:7" s="3" customFormat="1">
      <c r="A97" s="31"/>
      <c r="B97" s="32" t="s">
        <v>48</v>
      </c>
      <c r="C97" s="22"/>
    </row>
    <row r="98" spans="1:7" s="3" customFormat="1" ht="15">
      <c r="A98" s="31"/>
      <c r="B98" s="14" t="s">
        <v>27</v>
      </c>
      <c r="C98" s="3" t="s">
        <v>49</v>
      </c>
    </row>
    <row r="99" spans="1:7" s="3" customFormat="1" ht="15">
      <c r="A99" s="31"/>
      <c r="B99" s="14" t="s">
        <v>29</v>
      </c>
      <c r="C99" s="3" t="s">
        <v>50</v>
      </c>
    </row>
    <row r="100" spans="1:7" s="3" customFormat="1">
      <c r="A100" s="31"/>
      <c r="C100" s="22"/>
    </row>
    <row r="101" spans="1:7" s="3" customFormat="1">
      <c r="A101" s="31"/>
      <c r="B101" s="23" t="s">
        <v>51</v>
      </c>
      <c r="C101" s="23"/>
      <c r="D101" s="26"/>
      <c r="E101" s="26"/>
    </row>
    <row r="102" spans="1:7" s="3" customFormat="1">
      <c r="A102" s="31"/>
      <c r="B102" s="26"/>
      <c r="C102" s="26"/>
      <c r="D102" s="26"/>
      <c r="E102" s="26"/>
    </row>
    <row r="103" spans="1:7" s="3" customFormat="1" ht="15">
      <c r="A103" s="31"/>
      <c r="B103" s="41" t="s">
        <v>52</v>
      </c>
    </row>
    <row r="104" spans="1:7" s="3" customFormat="1">
      <c r="A104" s="31"/>
      <c r="B104" s="14" t="s">
        <v>53</v>
      </c>
      <c r="C104" s="23">
        <v>8</v>
      </c>
    </row>
    <row r="105" spans="1:7" s="3" customFormat="1">
      <c r="A105" s="31"/>
      <c r="B105" s="14" t="s">
        <v>54</v>
      </c>
      <c r="C105" s="41">
        <v>0.5</v>
      </c>
    </row>
    <row r="106" spans="1:7" s="3" customFormat="1">
      <c r="A106" s="31"/>
      <c r="B106" s="14"/>
      <c r="C106" s="41"/>
    </row>
    <row r="107" spans="1:7" s="3" customFormat="1">
      <c r="A107" s="31"/>
      <c r="B107" s="17" t="s">
        <v>31</v>
      </c>
      <c r="C107" s="42">
        <v>0.1</v>
      </c>
    </row>
    <row r="108" spans="1:7" s="3" customFormat="1">
      <c r="A108" s="31"/>
      <c r="B108" s="5"/>
    </row>
    <row r="109" spans="1:7" s="3" customFormat="1">
      <c r="A109" s="31"/>
      <c r="B109" s="25" t="s">
        <v>32</v>
      </c>
      <c r="C109" s="43" t="s">
        <v>55</v>
      </c>
    </row>
    <row r="110" spans="1:7" s="3" customFormat="1">
      <c r="A110" s="31"/>
      <c r="B110" s="26">
        <v>0</v>
      </c>
      <c r="C110" s="21">
        <v>1</v>
      </c>
      <c r="D110" s="46"/>
      <c r="G110" s="28"/>
    </row>
    <row r="111" spans="1:7" s="3" customFormat="1">
      <c r="A111" s="31"/>
      <c r="B111" s="26">
        <v>1</v>
      </c>
      <c r="C111" s="21">
        <f>C110-BINOMDIST(B110,$C$104,$C$105,FALSE)</f>
        <v>0.99609375</v>
      </c>
      <c r="D111" s="46"/>
      <c r="G111" s="28"/>
    </row>
    <row r="112" spans="1:7" s="3" customFormat="1">
      <c r="A112" s="31"/>
      <c r="B112" s="26">
        <v>2</v>
      </c>
      <c r="C112" s="21">
        <f t="shared" ref="C112:C118" si="5">C111-BINOMDIST(B111,$C$104,$C$105,FALSE)</f>
        <v>0.96484375</v>
      </c>
      <c r="D112" s="46"/>
      <c r="G112" s="28"/>
    </row>
    <row r="113" spans="1:11" s="3" customFormat="1">
      <c r="A113" s="31"/>
      <c r="B113" s="26">
        <v>3</v>
      </c>
      <c r="C113" s="21">
        <f t="shared" si="5"/>
        <v>0.85546875</v>
      </c>
      <c r="D113" s="46"/>
      <c r="G113" s="28"/>
    </row>
    <row r="114" spans="1:11" s="3" customFormat="1">
      <c r="A114" s="31"/>
      <c r="B114" s="15">
        <v>4</v>
      </c>
      <c r="C114" s="21">
        <f t="shared" si="5"/>
        <v>0.63671875</v>
      </c>
      <c r="D114" s="46"/>
      <c r="G114" s="28"/>
    </row>
    <row r="115" spans="1:11" s="3" customFormat="1">
      <c r="A115" s="31"/>
      <c r="B115" s="15">
        <v>5</v>
      </c>
      <c r="C115" s="21">
        <f t="shared" si="5"/>
        <v>0.36328124999999994</v>
      </c>
      <c r="D115" s="46"/>
      <c r="G115" s="28"/>
    </row>
    <row r="116" spans="1:11" s="3" customFormat="1">
      <c r="A116" s="31"/>
      <c r="B116" s="26">
        <v>6</v>
      </c>
      <c r="C116" s="21">
        <f t="shared" si="5"/>
        <v>0.14453124999999994</v>
      </c>
      <c r="D116" s="46"/>
      <c r="G116" s="28"/>
    </row>
    <row r="117" spans="1:11" s="3" customFormat="1">
      <c r="A117" s="31"/>
      <c r="B117" s="26">
        <v>7</v>
      </c>
      <c r="C117" s="21">
        <f t="shared" si="5"/>
        <v>3.5156249999999889E-2</v>
      </c>
      <c r="D117" s="46"/>
      <c r="G117" s="28"/>
    </row>
    <row r="118" spans="1:11" s="3" customFormat="1">
      <c r="A118" s="31"/>
      <c r="B118" s="26">
        <v>8</v>
      </c>
      <c r="C118" s="21">
        <f t="shared" si="5"/>
        <v>3.906249999999882E-3</v>
      </c>
      <c r="D118" s="46"/>
      <c r="G118" s="28"/>
    </row>
    <row r="119" spans="1:11" s="3" customFormat="1" ht="14" thickBot="1">
      <c r="A119" s="31"/>
      <c r="B119" s="21"/>
      <c r="C119" s="21"/>
    </row>
    <row r="120" spans="1:11" s="3" customFormat="1">
      <c r="A120" s="31"/>
      <c r="B120" s="64" t="s">
        <v>56</v>
      </c>
      <c r="C120" s="65">
        <v>7</v>
      </c>
      <c r="D120" s="37"/>
    </row>
    <row r="121" spans="1:11" s="3" customFormat="1">
      <c r="A121" s="31"/>
      <c r="B121" s="48" t="s">
        <v>57</v>
      </c>
      <c r="C121" s="2"/>
      <c r="D121" s="49"/>
    </row>
    <row r="122" spans="1:11" s="3" customFormat="1" ht="16" thickBot="1">
      <c r="A122" s="31"/>
      <c r="B122" s="66" t="s">
        <v>58</v>
      </c>
      <c r="C122" s="67"/>
      <c r="D122" s="40"/>
    </row>
    <row r="123" spans="1:11" s="3" customFormat="1">
      <c r="A123" s="31"/>
      <c r="C123" s="22"/>
    </row>
    <row r="124" spans="1:11" s="3" customFormat="1">
      <c r="A124" s="31"/>
      <c r="G124" s="1"/>
      <c r="H124" s="1"/>
      <c r="I124" s="1"/>
      <c r="J124" s="1"/>
      <c r="K124" s="1"/>
    </row>
    <row r="125" spans="1:11" s="3" customFormat="1">
      <c r="A125" s="31"/>
    </row>
    <row r="126" spans="1:11" s="3" customFormat="1">
      <c r="A126" s="30" t="s">
        <v>59</v>
      </c>
      <c r="B126" s="32" t="s">
        <v>60</v>
      </c>
      <c r="C126" s="22"/>
    </row>
    <row r="127" spans="1:11" s="3" customFormat="1">
      <c r="A127" s="31"/>
      <c r="B127" s="25" t="s">
        <v>61</v>
      </c>
      <c r="C127" s="25" t="s">
        <v>62</v>
      </c>
      <c r="D127" s="25" t="s">
        <v>63</v>
      </c>
      <c r="E127" s="25" t="s">
        <v>64</v>
      </c>
    </row>
    <row r="128" spans="1:11" s="3" customFormat="1">
      <c r="A128" s="31"/>
      <c r="B128" s="26">
        <v>1</v>
      </c>
      <c r="C128" s="88">
        <v>12</v>
      </c>
      <c r="D128" s="57">
        <v>9</v>
      </c>
      <c r="E128" s="26" t="str">
        <f>IF(C128-D128&gt;0,"+","-")</f>
        <v>+</v>
      </c>
    </row>
    <row r="129" spans="1:5" s="3" customFormat="1">
      <c r="A129" s="31"/>
      <c r="B129" s="26">
        <v>2</v>
      </c>
      <c r="C129" s="88">
        <v>24</v>
      </c>
      <c r="D129" s="57">
        <v>11</v>
      </c>
      <c r="E129" s="26" t="str">
        <f t="shared" ref="E129:E135" si="6">IF(C129-D129&gt;0,"+","-")</f>
        <v>+</v>
      </c>
    </row>
    <row r="130" spans="1:5" s="3" customFormat="1">
      <c r="A130" s="31"/>
      <c r="B130" s="26">
        <v>3</v>
      </c>
      <c r="C130" s="57">
        <v>21</v>
      </c>
      <c r="D130" s="57">
        <v>17</v>
      </c>
      <c r="E130" s="26" t="s">
        <v>65</v>
      </c>
    </row>
    <row r="131" spans="1:5" s="3" customFormat="1">
      <c r="A131" s="31"/>
      <c r="B131" s="26">
        <v>4</v>
      </c>
      <c r="C131" s="57">
        <v>19</v>
      </c>
      <c r="D131" s="57">
        <v>18</v>
      </c>
      <c r="E131" s="26" t="s">
        <v>65</v>
      </c>
    </row>
    <row r="132" spans="1:5" s="3" customFormat="1">
      <c r="A132" s="31"/>
      <c r="B132" s="26">
        <v>5</v>
      </c>
      <c r="C132" s="57">
        <v>4</v>
      </c>
      <c r="D132" s="57">
        <v>0</v>
      </c>
      <c r="E132" s="26" t="s">
        <v>65</v>
      </c>
    </row>
    <row r="133" spans="1:5" s="3" customFormat="1">
      <c r="A133" s="31"/>
      <c r="B133" s="26">
        <v>6</v>
      </c>
      <c r="C133" s="57">
        <v>7</v>
      </c>
      <c r="D133" s="57">
        <v>6</v>
      </c>
      <c r="E133" s="26" t="s">
        <v>65</v>
      </c>
    </row>
    <row r="134" spans="1:5" s="3" customFormat="1">
      <c r="A134" s="31"/>
      <c r="B134" s="26">
        <v>7</v>
      </c>
      <c r="C134" s="56">
        <v>16</v>
      </c>
      <c r="D134" s="57">
        <v>14</v>
      </c>
      <c r="E134" s="26" t="str">
        <f t="shared" si="6"/>
        <v>+</v>
      </c>
    </row>
    <row r="135" spans="1:5" s="3" customFormat="1">
      <c r="A135" s="31"/>
      <c r="B135" s="26">
        <v>8</v>
      </c>
      <c r="C135" s="56">
        <v>9</v>
      </c>
      <c r="D135" s="57">
        <v>6</v>
      </c>
      <c r="E135" s="26" t="str">
        <f t="shared" si="6"/>
        <v>+</v>
      </c>
    </row>
    <row r="136" spans="1:5" s="3" customFormat="1">
      <c r="A136" s="31"/>
      <c r="C136" s="22"/>
    </row>
    <row r="137" spans="1:5" s="3" customFormat="1">
      <c r="A137" s="31"/>
      <c r="B137" s="32" t="s">
        <v>66</v>
      </c>
      <c r="C137" s="22"/>
    </row>
    <row r="138" spans="1:5" s="3" customFormat="1" ht="15">
      <c r="A138" s="31"/>
      <c r="B138" s="14" t="s">
        <v>27</v>
      </c>
      <c r="C138" s="3" t="s">
        <v>67</v>
      </c>
    </row>
    <row r="139" spans="1:5" s="3" customFormat="1" ht="15">
      <c r="A139" s="31"/>
      <c r="B139" s="14" t="s">
        <v>29</v>
      </c>
      <c r="C139" s="3" t="s">
        <v>68</v>
      </c>
    </row>
    <row r="140" spans="1:5" s="3" customFormat="1">
      <c r="A140" s="31"/>
      <c r="C140" s="22"/>
    </row>
    <row r="141" spans="1:5" s="3" customFormat="1">
      <c r="A141" s="31"/>
      <c r="B141" s="23" t="s">
        <v>69</v>
      </c>
      <c r="C141" s="23"/>
      <c r="D141" s="26"/>
      <c r="E141" s="26"/>
    </row>
    <row r="142" spans="1:5" s="3" customFormat="1">
      <c r="A142" s="31"/>
      <c r="B142" s="26"/>
      <c r="C142" s="26"/>
      <c r="D142" s="26"/>
      <c r="E142" s="26"/>
    </row>
    <row r="143" spans="1:5" s="3" customFormat="1" ht="15">
      <c r="A143" s="31"/>
      <c r="B143" s="41" t="s">
        <v>52</v>
      </c>
    </row>
    <row r="144" spans="1:5" s="3" customFormat="1">
      <c r="A144" s="31"/>
      <c r="B144" s="14" t="s">
        <v>70</v>
      </c>
      <c r="C144" s="23">
        <f>COUNT(B128:B135)</f>
        <v>8</v>
      </c>
    </row>
    <row r="145" spans="1:4" s="3" customFormat="1">
      <c r="A145" s="31"/>
      <c r="B145" s="14" t="s">
        <v>71</v>
      </c>
      <c r="C145" s="41">
        <v>0.5</v>
      </c>
    </row>
    <row r="146" spans="1:4" s="3" customFormat="1">
      <c r="A146" s="31"/>
      <c r="B146" s="14"/>
      <c r="C146" s="41"/>
    </row>
    <row r="147" spans="1:4" s="3" customFormat="1">
      <c r="A147" s="31"/>
      <c r="B147" s="17" t="s">
        <v>31</v>
      </c>
      <c r="C147" s="42">
        <v>0.01</v>
      </c>
    </row>
    <row r="148" spans="1:4" s="3" customFormat="1">
      <c r="A148" s="31"/>
      <c r="B148" s="5"/>
    </row>
    <row r="149" spans="1:4" s="3" customFormat="1">
      <c r="A149" s="31"/>
      <c r="B149" s="25" t="s">
        <v>32</v>
      </c>
      <c r="C149" s="43" t="s">
        <v>72</v>
      </c>
    </row>
    <row r="150" spans="1:4" s="3" customFormat="1">
      <c r="A150" s="31"/>
      <c r="B150" s="26">
        <v>0</v>
      </c>
      <c r="C150" s="21">
        <v>1</v>
      </c>
      <c r="D150" s="46" t="s">
        <v>73</v>
      </c>
    </row>
    <row r="151" spans="1:4" s="3" customFormat="1">
      <c r="A151" s="31"/>
      <c r="B151" s="26">
        <v>1</v>
      </c>
      <c r="C151" s="21">
        <f>C150-BINOMDIST(B150,$C$144,$C$145,FALSE)</f>
        <v>0.99609375</v>
      </c>
      <c r="D151" s="46" t="s">
        <v>73</v>
      </c>
    </row>
    <row r="152" spans="1:4" s="3" customFormat="1">
      <c r="A152" s="31"/>
      <c r="B152" s="26">
        <v>2</v>
      </c>
      <c r="C152" s="21">
        <f t="shared" ref="C152:C158" si="7">C151-BINOMDIST(B151,$C$144,$C$145,FALSE)</f>
        <v>0.96484375</v>
      </c>
      <c r="D152" s="46" t="s">
        <v>73</v>
      </c>
    </row>
    <row r="153" spans="1:4" s="3" customFormat="1">
      <c r="A153" s="31"/>
      <c r="B153" s="26">
        <v>3</v>
      </c>
      <c r="C153" s="21">
        <f t="shared" si="7"/>
        <v>0.85546875</v>
      </c>
      <c r="D153" s="46" t="s">
        <v>73</v>
      </c>
    </row>
    <row r="154" spans="1:4" s="3" customFormat="1">
      <c r="A154" s="31"/>
      <c r="B154" s="15">
        <v>4</v>
      </c>
      <c r="C154" s="21">
        <f t="shared" si="7"/>
        <v>0.63671875</v>
      </c>
      <c r="D154" s="46" t="s">
        <v>73</v>
      </c>
    </row>
    <row r="155" spans="1:4" s="3" customFormat="1">
      <c r="A155" s="31"/>
      <c r="B155" s="26">
        <v>5</v>
      </c>
      <c r="C155" s="21">
        <f t="shared" si="7"/>
        <v>0.36328124999999994</v>
      </c>
      <c r="D155" s="46" t="s">
        <v>73</v>
      </c>
    </row>
    <row r="156" spans="1:4" s="3" customFormat="1">
      <c r="A156" s="31"/>
      <c r="B156" s="26">
        <v>6</v>
      </c>
      <c r="C156" s="21">
        <f t="shared" si="7"/>
        <v>0.14453124999999994</v>
      </c>
      <c r="D156" s="46" t="s">
        <v>73</v>
      </c>
    </row>
    <row r="157" spans="1:4" s="3" customFormat="1">
      <c r="A157" s="31"/>
      <c r="B157" s="26">
        <v>7</v>
      </c>
      <c r="C157" s="21">
        <f t="shared" si="7"/>
        <v>3.5156249999999889E-2</v>
      </c>
      <c r="D157" s="46" t="s">
        <v>73</v>
      </c>
    </row>
    <row r="158" spans="1:4" s="3" customFormat="1">
      <c r="A158" s="31"/>
      <c r="B158" s="26">
        <v>8</v>
      </c>
      <c r="C158" s="21">
        <f t="shared" si="7"/>
        <v>3.906249999999882E-3</v>
      </c>
      <c r="D158" s="1" t="s">
        <v>74</v>
      </c>
    </row>
    <row r="159" spans="1:4" s="3" customFormat="1" ht="14" thickBot="1">
      <c r="A159" s="31"/>
      <c r="B159" s="21"/>
      <c r="C159" s="21"/>
    </row>
    <row r="160" spans="1:4" s="3" customFormat="1">
      <c r="A160" s="31"/>
      <c r="B160" s="64" t="s">
        <v>75</v>
      </c>
      <c r="C160" s="65">
        <v>8</v>
      </c>
      <c r="D160" s="37"/>
    </row>
    <row r="161" spans="1:5" s="3" customFormat="1">
      <c r="A161" s="31"/>
      <c r="B161" s="68" t="s">
        <v>76</v>
      </c>
      <c r="C161" s="2"/>
      <c r="D161" s="49"/>
    </row>
    <row r="162" spans="1:5" s="3" customFormat="1" ht="16" thickBot="1">
      <c r="A162" s="31"/>
      <c r="B162" s="66" t="s">
        <v>58</v>
      </c>
      <c r="C162" s="67"/>
      <c r="D162" s="40"/>
    </row>
    <row r="163" spans="1:5" s="3" customFormat="1">
      <c r="A163" s="31"/>
      <c r="C163" s="22"/>
    </row>
    <row r="164" spans="1:5" s="3" customFormat="1">
      <c r="A164" s="31"/>
      <c r="C164" s="22"/>
    </row>
    <row r="165" spans="1:5" s="3" customFormat="1">
      <c r="A165" s="30" t="s">
        <v>78</v>
      </c>
      <c r="B165" s="32" t="s">
        <v>42</v>
      </c>
      <c r="C165" s="22"/>
    </row>
    <row r="166" spans="1:5" s="3" customFormat="1">
      <c r="A166" s="31"/>
      <c r="B166" s="25" t="s">
        <v>79</v>
      </c>
      <c r="C166" s="25" t="s">
        <v>80</v>
      </c>
      <c r="D166" s="25" t="s">
        <v>81</v>
      </c>
      <c r="E166" s="25" t="s">
        <v>82</v>
      </c>
    </row>
    <row r="167" spans="1:5" s="3" customFormat="1">
      <c r="A167" s="31"/>
      <c r="B167" s="26">
        <v>1</v>
      </c>
      <c r="C167" s="56">
        <v>100</v>
      </c>
      <c r="D167" s="56">
        <v>98</v>
      </c>
      <c r="E167" s="26" t="str">
        <f>IF(D167-C167&gt;0,"+","-")</f>
        <v>-</v>
      </c>
    </row>
    <row r="168" spans="1:5" s="3" customFormat="1">
      <c r="A168" s="31"/>
      <c r="B168" s="26">
        <v>2</v>
      </c>
      <c r="C168" s="56">
        <v>95</v>
      </c>
      <c r="D168" s="56">
        <v>115</v>
      </c>
      <c r="E168" s="26" t="str">
        <f t="shared" ref="E168:E178" si="8">IF(D168-C168&gt;0,"+","-")</f>
        <v>+</v>
      </c>
    </row>
    <row r="169" spans="1:5" s="3" customFormat="1">
      <c r="A169" s="31"/>
      <c r="B169" s="26">
        <v>3</v>
      </c>
      <c r="C169" s="56">
        <v>80</v>
      </c>
      <c r="D169" s="56">
        <v>101</v>
      </c>
      <c r="E169" s="26" t="str">
        <f t="shared" si="8"/>
        <v>+</v>
      </c>
    </row>
    <row r="170" spans="1:5" s="3" customFormat="1">
      <c r="A170" s="31"/>
      <c r="B170" s="26">
        <v>4</v>
      </c>
      <c r="C170" s="56">
        <v>98</v>
      </c>
      <c r="D170" s="56">
        <v>125</v>
      </c>
      <c r="E170" s="26" t="str">
        <f t="shared" si="8"/>
        <v>+</v>
      </c>
    </row>
    <row r="171" spans="1:5" s="3" customFormat="1">
      <c r="A171" s="31"/>
      <c r="B171" s="26">
        <v>5</v>
      </c>
      <c r="C171" s="56">
        <v>120</v>
      </c>
      <c r="D171" s="56">
        <v>120</v>
      </c>
      <c r="E171" s="26" t="str">
        <f t="shared" si="8"/>
        <v>-</v>
      </c>
    </row>
    <row r="172" spans="1:5" s="3" customFormat="1">
      <c r="A172" s="31"/>
      <c r="B172" s="26">
        <v>6</v>
      </c>
      <c r="C172" s="56">
        <v>98</v>
      </c>
      <c r="D172" s="56">
        <v>102</v>
      </c>
      <c r="E172" s="26" t="str">
        <f t="shared" si="8"/>
        <v>+</v>
      </c>
    </row>
    <row r="173" spans="1:5" s="3" customFormat="1">
      <c r="A173" s="31"/>
      <c r="B173" s="26">
        <v>7</v>
      </c>
      <c r="C173" s="56">
        <v>80</v>
      </c>
      <c r="D173" s="56">
        <v>92</v>
      </c>
      <c r="E173" s="26" t="str">
        <f t="shared" si="8"/>
        <v>+</v>
      </c>
    </row>
    <row r="174" spans="1:5" s="3" customFormat="1">
      <c r="A174" s="31"/>
      <c r="B174" s="26">
        <v>8</v>
      </c>
      <c r="C174" s="56">
        <v>103</v>
      </c>
      <c r="D174" s="56">
        <v>110</v>
      </c>
      <c r="E174" s="26" t="str">
        <f t="shared" si="8"/>
        <v>+</v>
      </c>
    </row>
    <row r="175" spans="1:5" s="3" customFormat="1">
      <c r="A175" s="31"/>
      <c r="B175" s="26">
        <v>9</v>
      </c>
      <c r="C175" s="56">
        <v>104</v>
      </c>
      <c r="D175" s="56">
        <v>105</v>
      </c>
      <c r="E175" s="26" t="str">
        <f t="shared" si="8"/>
        <v>+</v>
      </c>
    </row>
    <row r="176" spans="1:5" s="3" customFormat="1">
      <c r="A176" s="31"/>
      <c r="B176" s="26">
        <v>10</v>
      </c>
      <c r="C176" s="56">
        <v>68</v>
      </c>
      <c r="D176" s="56">
        <v>75</v>
      </c>
      <c r="E176" s="26" t="str">
        <f t="shared" si="8"/>
        <v>+</v>
      </c>
    </row>
    <row r="177" spans="1:5" s="3" customFormat="1">
      <c r="A177" s="31"/>
      <c r="B177" s="26">
        <v>11</v>
      </c>
      <c r="C177" s="56">
        <v>111</v>
      </c>
      <c r="D177" s="56">
        <v>112</v>
      </c>
      <c r="E177" s="26" t="str">
        <f t="shared" si="8"/>
        <v>+</v>
      </c>
    </row>
    <row r="178" spans="1:5" s="3" customFormat="1">
      <c r="A178" s="31"/>
      <c r="B178" s="26">
        <v>12</v>
      </c>
      <c r="C178" s="56">
        <v>110</v>
      </c>
      <c r="D178" s="56">
        <v>90</v>
      </c>
      <c r="E178" s="26" t="str">
        <f t="shared" si="8"/>
        <v>-</v>
      </c>
    </row>
    <row r="179" spans="1:5" s="3" customFormat="1">
      <c r="A179" s="31"/>
      <c r="C179" s="22"/>
    </row>
    <row r="180" spans="1:5" s="3" customFormat="1">
      <c r="A180" s="31"/>
      <c r="B180" s="32" t="s">
        <v>48</v>
      </c>
      <c r="C180" s="22"/>
    </row>
    <row r="181" spans="1:5" s="3" customFormat="1" ht="15">
      <c r="A181" s="31"/>
      <c r="B181" s="14" t="s">
        <v>27</v>
      </c>
      <c r="C181" s="3" t="s">
        <v>83</v>
      </c>
    </row>
    <row r="182" spans="1:5" s="3" customFormat="1" ht="15">
      <c r="A182" s="31"/>
      <c r="B182" s="14" t="s">
        <v>29</v>
      </c>
      <c r="C182" s="3" t="s">
        <v>84</v>
      </c>
    </row>
    <row r="183" spans="1:5" s="3" customFormat="1">
      <c r="A183" s="31"/>
      <c r="B183" s="14"/>
    </row>
    <row r="184" spans="1:5" s="3" customFormat="1">
      <c r="A184" s="31"/>
      <c r="B184" s="23" t="s">
        <v>85</v>
      </c>
      <c r="C184" s="23"/>
      <c r="D184" s="26"/>
      <c r="E184" s="26"/>
    </row>
    <row r="185" spans="1:5" s="3" customFormat="1">
      <c r="A185" s="31"/>
      <c r="B185" s="26"/>
    </row>
    <row r="186" spans="1:5" s="3" customFormat="1" ht="15">
      <c r="A186" s="31"/>
      <c r="B186" s="41" t="s">
        <v>52</v>
      </c>
    </row>
    <row r="187" spans="1:5" s="3" customFormat="1">
      <c r="A187" s="31"/>
      <c r="B187" s="14" t="s">
        <v>86</v>
      </c>
      <c r="C187" s="23">
        <v>12</v>
      </c>
    </row>
    <row r="188" spans="1:5" s="3" customFormat="1">
      <c r="A188" s="31"/>
      <c r="B188" s="14" t="s">
        <v>87</v>
      </c>
      <c r="C188" s="41">
        <v>0.5</v>
      </c>
    </row>
    <row r="189" spans="1:5" s="3" customFormat="1">
      <c r="A189" s="31"/>
      <c r="B189" s="14"/>
      <c r="C189" s="41"/>
    </row>
    <row r="190" spans="1:5" s="3" customFormat="1">
      <c r="A190" s="31"/>
      <c r="B190" s="17" t="s">
        <v>31</v>
      </c>
      <c r="C190" s="42">
        <v>0.05</v>
      </c>
    </row>
    <row r="191" spans="1:5" s="3" customFormat="1">
      <c r="A191" s="31"/>
      <c r="B191" s="5"/>
    </row>
    <row r="192" spans="1:5" s="3" customFormat="1">
      <c r="A192" s="31"/>
      <c r="B192" s="25" t="s">
        <v>88</v>
      </c>
      <c r="C192" s="69" t="s">
        <v>89</v>
      </c>
    </row>
    <row r="193" spans="1:4" s="3" customFormat="1">
      <c r="A193" s="31"/>
      <c r="B193" s="26">
        <v>0</v>
      </c>
      <c r="C193" s="70">
        <v>1</v>
      </c>
      <c r="D193" s="46" t="s">
        <v>35</v>
      </c>
    </row>
    <row r="194" spans="1:4" s="3" customFormat="1">
      <c r="A194" s="31"/>
      <c r="B194" s="26">
        <v>1</v>
      </c>
      <c r="C194" s="70">
        <f>C193-BINOMDIST(B193,$C$187,$C$188,FALSE)</f>
        <v>0.999755859375</v>
      </c>
      <c r="D194" s="46" t="s">
        <v>35</v>
      </c>
    </row>
    <row r="195" spans="1:4" s="3" customFormat="1">
      <c r="A195" s="31"/>
      <c r="B195" s="26">
        <v>2</v>
      </c>
      <c r="C195" s="21">
        <f t="shared" ref="C195:C205" si="9">C194-BINOMDIST(B194,$C$187,$C$188,FALSE)</f>
        <v>0.996826171875</v>
      </c>
      <c r="D195" s="46" t="s">
        <v>35</v>
      </c>
    </row>
    <row r="196" spans="1:4" s="3" customFormat="1">
      <c r="A196" s="31"/>
      <c r="B196" s="26">
        <v>3</v>
      </c>
      <c r="C196" s="21">
        <f t="shared" si="9"/>
        <v>0.980712890625</v>
      </c>
      <c r="D196" s="46" t="s">
        <v>35</v>
      </c>
    </row>
    <row r="197" spans="1:4" s="3" customFormat="1">
      <c r="A197" s="31"/>
      <c r="B197" s="26">
        <v>4</v>
      </c>
      <c r="C197" s="21">
        <f t="shared" si="9"/>
        <v>0.927001953125</v>
      </c>
      <c r="D197" s="46" t="s">
        <v>35</v>
      </c>
    </row>
    <row r="198" spans="1:4" s="3" customFormat="1">
      <c r="A198" s="31"/>
      <c r="B198" s="26">
        <v>5</v>
      </c>
      <c r="C198" s="21">
        <f t="shared" si="9"/>
        <v>0.80615234375</v>
      </c>
      <c r="D198" s="46" t="s">
        <v>35</v>
      </c>
    </row>
    <row r="199" spans="1:4" s="3" customFormat="1">
      <c r="A199" s="31"/>
      <c r="B199" s="26">
        <v>6</v>
      </c>
      <c r="C199" s="21">
        <f t="shared" si="9"/>
        <v>0.61279296875</v>
      </c>
      <c r="D199" s="46" t="s">
        <v>35</v>
      </c>
    </row>
    <row r="200" spans="1:4" s="3" customFormat="1">
      <c r="A200" s="31"/>
      <c r="B200" s="26">
        <v>7</v>
      </c>
      <c r="C200" s="21">
        <f t="shared" si="9"/>
        <v>0.38720703125</v>
      </c>
      <c r="D200" s="46" t="s">
        <v>35</v>
      </c>
    </row>
    <row r="201" spans="1:4" s="3" customFormat="1">
      <c r="A201" s="31"/>
      <c r="B201" s="15">
        <v>8</v>
      </c>
      <c r="C201" s="21">
        <f t="shared" si="9"/>
        <v>0.19384765624999994</v>
      </c>
      <c r="D201" s="46" t="s">
        <v>35</v>
      </c>
    </row>
    <row r="202" spans="1:4" s="3" customFormat="1">
      <c r="A202" s="31"/>
      <c r="B202" s="61">
        <v>9</v>
      </c>
      <c r="C202" s="71">
        <f t="shared" si="9"/>
        <v>7.2998046874999931E-2</v>
      </c>
      <c r="D202" s="72" t="s">
        <v>35</v>
      </c>
    </row>
    <row r="203" spans="1:4" s="3" customFormat="1">
      <c r="A203" s="31"/>
      <c r="B203" s="26">
        <v>10</v>
      </c>
      <c r="C203" s="21">
        <f t="shared" si="9"/>
        <v>1.9287109374999965E-2</v>
      </c>
      <c r="D203" s="3" t="s">
        <v>90</v>
      </c>
    </row>
    <row r="204" spans="1:4" s="3" customFormat="1">
      <c r="A204" s="31"/>
      <c r="B204" s="26">
        <v>11</v>
      </c>
      <c r="C204" s="21">
        <f t="shared" si="9"/>
        <v>3.1738281249999618E-3</v>
      </c>
    </row>
    <row r="205" spans="1:4" s="3" customFormat="1">
      <c r="A205" s="31"/>
      <c r="B205" s="26">
        <v>12</v>
      </c>
      <c r="C205" s="21">
        <f t="shared" si="9"/>
        <v>2.4414062499996227E-4</v>
      </c>
    </row>
    <row r="206" spans="1:4" s="3" customFormat="1" ht="14" thickBot="1">
      <c r="A206" s="31"/>
    </row>
    <row r="207" spans="1:4" s="3" customFormat="1">
      <c r="A207" s="31"/>
      <c r="B207" s="73" t="s">
        <v>56</v>
      </c>
      <c r="C207" s="74">
        <f>COUNTIF(E167:E178,"+")</f>
        <v>9</v>
      </c>
    </row>
    <row r="208" spans="1:4" s="3" customFormat="1">
      <c r="A208" s="31"/>
      <c r="B208" s="75" t="s">
        <v>91</v>
      </c>
      <c r="C208" s="76" t="s">
        <v>92</v>
      </c>
    </row>
    <row r="209" spans="1:8" s="3" customFormat="1" ht="14" customHeight="1" thickBot="1">
      <c r="A209" s="31"/>
      <c r="B209" s="50" t="s">
        <v>77</v>
      </c>
      <c r="C209" s="77"/>
    </row>
    <row r="210" spans="1:8" s="3" customFormat="1">
      <c r="A210" s="31"/>
    </row>
    <row r="211" spans="1:8" s="3" customFormat="1">
      <c r="A211" s="31"/>
    </row>
    <row r="212" spans="1:8" s="3" customFormat="1">
      <c r="A212" s="30" t="s">
        <v>93</v>
      </c>
      <c r="B212" s="4"/>
    </row>
    <row r="213" spans="1:8" s="3" customFormat="1">
      <c r="A213" s="31"/>
      <c r="B213" s="32" t="s">
        <v>94</v>
      </c>
    </row>
    <row r="214" spans="1:8" s="3" customFormat="1">
      <c r="A214" s="31"/>
      <c r="B214" s="14" t="s">
        <v>70</v>
      </c>
      <c r="C214" s="23">
        <v>12</v>
      </c>
    </row>
    <row r="215" spans="1:8" s="3" customFormat="1">
      <c r="A215" s="31"/>
    </row>
    <row r="216" spans="1:8" s="3" customFormat="1" ht="15">
      <c r="A216" s="31"/>
      <c r="B216" s="41" t="s">
        <v>52</v>
      </c>
    </row>
    <row r="217" spans="1:8" s="3" customFormat="1">
      <c r="A217" s="31"/>
      <c r="B217" s="14" t="s">
        <v>70</v>
      </c>
      <c r="C217" s="23">
        <f>C214</f>
        <v>12</v>
      </c>
    </row>
    <row r="218" spans="1:8" s="3" customFormat="1">
      <c r="A218" s="31"/>
      <c r="B218" s="14" t="s">
        <v>71</v>
      </c>
      <c r="C218" s="41">
        <v>0.5</v>
      </c>
    </row>
    <row r="219" spans="1:8" s="3" customFormat="1" ht="14" thickBot="1">
      <c r="A219" s="31"/>
    </row>
    <row r="220" spans="1:8" s="3" customFormat="1">
      <c r="A220" s="31"/>
      <c r="B220" s="78" t="s">
        <v>95</v>
      </c>
      <c r="C220" s="79" t="s">
        <v>89</v>
      </c>
      <c r="D220" s="1"/>
      <c r="E220" s="1"/>
      <c r="F220" s="1"/>
      <c r="G220" s="1"/>
      <c r="H220" s="1"/>
    </row>
    <row r="221" spans="1:8" s="3" customFormat="1">
      <c r="A221" s="31"/>
      <c r="B221" s="80">
        <v>0</v>
      </c>
      <c r="C221" s="81">
        <f>BINOMDIST($C$217-B221,$C$217,$C$218,TRUE)</f>
        <v>1</v>
      </c>
      <c r="D221" s="46"/>
      <c r="E221" s="1"/>
      <c r="F221" s="1"/>
      <c r="G221" s="1"/>
      <c r="H221" s="1"/>
    </row>
    <row r="222" spans="1:8" s="3" customFormat="1">
      <c r="A222" s="31"/>
      <c r="B222" s="80">
        <v>1</v>
      </c>
      <c r="C222" s="81">
        <f t="shared" ref="C222:C233" si="10">BINOMDIST($C$217-B222,$C$217,$C$218,TRUE)</f>
        <v>0.999755859375</v>
      </c>
      <c r="D222" s="46"/>
      <c r="E222" s="1"/>
      <c r="F222" s="1"/>
      <c r="G222" s="1"/>
      <c r="H222" s="1"/>
    </row>
    <row r="223" spans="1:8" s="3" customFormat="1">
      <c r="A223" s="31"/>
      <c r="B223" s="80">
        <v>2</v>
      </c>
      <c r="C223" s="81">
        <f t="shared" si="10"/>
        <v>0.996826171875</v>
      </c>
      <c r="D223" s="46"/>
      <c r="E223" s="1"/>
      <c r="F223" s="1"/>
      <c r="G223" s="1"/>
      <c r="H223" s="1"/>
    </row>
    <row r="224" spans="1:8" s="3" customFormat="1">
      <c r="A224" s="31"/>
      <c r="B224" s="80">
        <v>3</v>
      </c>
      <c r="C224" s="81">
        <f t="shared" si="10"/>
        <v>0.980712890625</v>
      </c>
      <c r="D224" s="46"/>
      <c r="E224" s="1"/>
      <c r="F224" s="1"/>
      <c r="G224" s="1"/>
      <c r="H224" s="1"/>
    </row>
    <row r="225" spans="1:8" s="3" customFormat="1">
      <c r="A225" s="31"/>
      <c r="B225" s="80">
        <v>4</v>
      </c>
      <c r="C225" s="81">
        <f t="shared" si="10"/>
        <v>0.927001953125</v>
      </c>
      <c r="D225" s="46"/>
      <c r="E225" s="1"/>
      <c r="F225" s="1"/>
      <c r="G225" s="1"/>
      <c r="H225" s="1"/>
    </row>
    <row r="226" spans="1:8" s="3" customFormat="1">
      <c r="A226" s="31"/>
      <c r="B226" s="80">
        <v>5</v>
      </c>
      <c r="C226" s="81">
        <f t="shared" si="10"/>
        <v>0.80615234375</v>
      </c>
      <c r="D226" s="46"/>
      <c r="E226" s="1"/>
      <c r="F226" s="1"/>
      <c r="G226" s="1"/>
      <c r="H226" s="1"/>
    </row>
    <row r="227" spans="1:8" s="3" customFormat="1">
      <c r="A227" s="31"/>
      <c r="B227" s="80">
        <v>6</v>
      </c>
      <c r="C227" s="81">
        <f t="shared" si="10"/>
        <v>0.61279296874999989</v>
      </c>
      <c r="D227" s="46"/>
      <c r="E227" s="1"/>
      <c r="F227" s="1"/>
      <c r="G227" s="1"/>
      <c r="H227" s="1"/>
    </row>
    <row r="228" spans="1:8" s="3" customFormat="1">
      <c r="A228" s="31"/>
      <c r="B228" s="80">
        <v>7</v>
      </c>
      <c r="C228" s="81">
        <f t="shared" si="10"/>
        <v>0.38720703125000011</v>
      </c>
      <c r="D228" s="46"/>
      <c r="E228" s="1"/>
      <c r="F228" s="1"/>
      <c r="G228" s="1"/>
      <c r="H228" s="1"/>
    </row>
    <row r="229" spans="1:8" s="3" customFormat="1">
      <c r="A229" s="31"/>
      <c r="B229" s="80">
        <v>8</v>
      </c>
      <c r="C229" s="81">
        <f t="shared" si="10"/>
        <v>0.19384765625</v>
      </c>
      <c r="D229" s="46"/>
      <c r="E229" s="1"/>
      <c r="F229" s="1"/>
      <c r="G229" s="1"/>
      <c r="H229" s="1"/>
    </row>
    <row r="230" spans="1:8" s="3" customFormat="1">
      <c r="A230" s="31"/>
      <c r="B230" s="80">
        <v>9</v>
      </c>
      <c r="C230" s="81">
        <f t="shared" si="10"/>
        <v>7.2998046875000014E-2</v>
      </c>
      <c r="D230" s="46"/>
      <c r="E230" s="1"/>
      <c r="F230" s="1"/>
      <c r="G230" s="1"/>
      <c r="H230" s="1"/>
    </row>
    <row r="231" spans="1:8" s="3" customFormat="1">
      <c r="A231" s="31"/>
      <c r="B231" s="80">
        <v>10</v>
      </c>
      <c r="C231" s="81">
        <f t="shared" si="10"/>
        <v>1.9287109375000007E-2</v>
      </c>
      <c r="D231" s="46"/>
      <c r="E231" s="1"/>
      <c r="F231" s="1"/>
      <c r="G231" s="1"/>
      <c r="H231" s="1"/>
    </row>
    <row r="232" spans="1:8" s="3" customFormat="1">
      <c r="A232" s="31"/>
      <c r="B232" s="80">
        <v>11</v>
      </c>
      <c r="C232" s="81">
        <f t="shared" si="10"/>
        <v>3.1738281250000004E-3</v>
      </c>
      <c r="D232" s="46"/>
      <c r="E232" s="1"/>
      <c r="F232" s="1"/>
      <c r="G232" s="1"/>
      <c r="H232" s="1"/>
    </row>
    <row r="233" spans="1:8" s="3" customFormat="1" ht="14" thickBot="1">
      <c r="A233" s="31"/>
      <c r="B233" s="82">
        <v>12</v>
      </c>
      <c r="C233" s="83">
        <f t="shared" si="10"/>
        <v>2.4414062500000016E-4</v>
      </c>
      <c r="D233" s="46"/>
      <c r="E233" s="1"/>
      <c r="F233" s="1"/>
      <c r="G233" s="1"/>
      <c r="H233" s="1"/>
    </row>
    <row r="234" spans="1:8" s="3" customFormat="1" ht="14" thickBot="1">
      <c r="A234" s="31"/>
      <c r="B234" s="15"/>
      <c r="C234" s="19"/>
      <c r="D234" s="46"/>
      <c r="E234" s="1"/>
      <c r="F234" s="1"/>
      <c r="G234" s="1"/>
      <c r="H234" s="1"/>
    </row>
    <row r="235" spans="1:8" s="3" customFormat="1">
      <c r="A235" s="31"/>
      <c r="B235" s="47"/>
      <c r="C235" s="84" t="s">
        <v>96</v>
      </c>
      <c r="D235" s="85" t="s">
        <v>97</v>
      </c>
      <c r="E235" s="1"/>
      <c r="F235" s="1"/>
      <c r="G235" s="1"/>
      <c r="H235" s="1"/>
    </row>
    <row r="236" spans="1:8" s="3" customFormat="1" ht="14" thickBot="1">
      <c r="A236" s="31"/>
      <c r="B236" s="82"/>
      <c r="C236" s="86" t="s">
        <v>98</v>
      </c>
      <c r="D236" s="87" t="s">
        <v>99</v>
      </c>
      <c r="E236" s="1"/>
      <c r="F236" s="1"/>
      <c r="G236" s="1"/>
      <c r="H236" s="1"/>
    </row>
    <row r="237" spans="1:8" s="3" customFormat="1">
      <c r="A237" s="31"/>
    </row>
    <row r="238" spans="1:8" s="3" customFormat="1">
      <c r="A238" s="31"/>
    </row>
    <row r="239" spans="1:8" s="3" customFormat="1" ht="15">
      <c r="A239" s="30" t="s">
        <v>100</v>
      </c>
      <c r="B239" s="41" t="s">
        <v>52</v>
      </c>
    </row>
    <row r="240" spans="1:8" s="3" customFormat="1">
      <c r="A240" s="31"/>
      <c r="B240" s="14" t="s">
        <v>101</v>
      </c>
      <c r="C240" s="23">
        <v>4</v>
      </c>
    </row>
    <row r="241" spans="1:11" s="3" customFormat="1">
      <c r="A241" s="31"/>
      <c r="B241" s="14" t="s">
        <v>54</v>
      </c>
      <c r="C241" s="41">
        <v>0.5</v>
      </c>
    </row>
    <row r="242" spans="1:11" s="3" customFormat="1">
      <c r="A242" s="31"/>
      <c r="C242" s="22"/>
    </row>
    <row r="243" spans="1:11">
      <c r="A243" s="8"/>
      <c r="B243" s="55" t="s">
        <v>95</v>
      </c>
      <c r="C243" s="55" t="s">
        <v>102</v>
      </c>
      <c r="D243" s="1"/>
      <c r="E243" s="1"/>
      <c r="F243" s="1"/>
      <c r="G243" s="1"/>
      <c r="H243" s="1"/>
      <c r="I243" s="1"/>
      <c r="J243" s="1"/>
      <c r="K243" s="1"/>
    </row>
    <row r="244" spans="1:11">
      <c r="A244" s="8"/>
      <c r="B244" s="15">
        <v>0</v>
      </c>
      <c r="C244" s="19">
        <v>1</v>
      </c>
      <c r="D244" s="46" t="s">
        <v>35</v>
      </c>
      <c r="E244" s="1"/>
      <c r="F244" s="1"/>
      <c r="G244" s="1"/>
      <c r="H244" s="1"/>
      <c r="I244" s="1"/>
      <c r="J244" s="1"/>
      <c r="K244" s="1"/>
    </row>
    <row r="245" spans="1:11">
      <c r="A245" s="8"/>
      <c r="B245" s="15">
        <v>1</v>
      </c>
      <c r="C245" s="19">
        <f>C244-BINOMDIST(B244,$C$240,$C$241,FALSE)</f>
        <v>0.9375</v>
      </c>
      <c r="D245" s="46" t="s">
        <v>35</v>
      </c>
      <c r="E245" s="1"/>
      <c r="F245" s="1"/>
      <c r="G245" s="1"/>
      <c r="H245" s="1"/>
      <c r="I245" s="1"/>
      <c r="J245" s="1"/>
      <c r="K245" s="1"/>
    </row>
    <row r="246" spans="1:11">
      <c r="A246" s="8"/>
      <c r="B246" s="15">
        <v>2</v>
      </c>
      <c r="C246" s="19">
        <f t="shared" ref="C246:C248" si="11">C245-BINOMDIST(B245,$C$240,$C$241,FALSE)</f>
        <v>0.6875</v>
      </c>
      <c r="D246" s="46" t="s">
        <v>35</v>
      </c>
      <c r="E246" s="1"/>
      <c r="F246" s="1"/>
      <c r="G246" s="1"/>
      <c r="H246" s="1"/>
      <c r="I246" s="1"/>
      <c r="J246" s="1"/>
      <c r="K246" s="1"/>
    </row>
    <row r="247" spans="1:11">
      <c r="A247" s="8"/>
      <c r="B247" s="15">
        <v>3</v>
      </c>
      <c r="C247" s="19">
        <f t="shared" si="11"/>
        <v>0.3125</v>
      </c>
      <c r="D247" s="46" t="s">
        <v>35</v>
      </c>
      <c r="E247" s="1"/>
      <c r="F247" s="1"/>
      <c r="G247" s="1"/>
      <c r="H247" s="1"/>
      <c r="I247" s="1"/>
      <c r="J247" s="1"/>
      <c r="K247" s="1"/>
    </row>
    <row r="248" spans="1:11">
      <c r="A248" s="8"/>
      <c r="B248" s="15">
        <v>4</v>
      </c>
      <c r="C248" s="19">
        <f t="shared" si="11"/>
        <v>6.25E-2</v>
      </c>
      <c r="D248" s="46" t="s">
        <v>35</v>
      </c>
      <c r="E248" s="1"/>
      <c r="F248" s="1"/>
      <c r="G248" s="1"/>
      <c r="H248" s="1"/>
      <c r="I248" s="1"/>
      <c r="J248" s="1"/>
      <c r="K248" s="1"/>
    </row>
    <row r="249" spans="1:11" s="3" customFormat="1" ht="14" thickBot="1">
      <c r="A249" s="31"/>
      <c r="C249" s="22"/>
    </row>
    <row r="250" spans="1:11" s="3" customFormat="1">
      <c r="A250" s="31"/>
      <c r="B250" s="47" t="s">
        <v>103</v>
      </c>
      <c r="C250" s="36"/>
      <c r="D250" s="36"/>
      <c r="E250" s="37"/>
    </row>
    <row r="251" spans="1:11" s="3" customFormat="1" ht="14" thickBot="1">
      <c r="A251" s="31"/>
      <c r="B251" s="50" t="s">
        <v>104</v>
      </c>
      <c r="C251" s="39"/>
      <c r="D251" s="39"/>
      <c r="E251" s="40"/>
    </row>
    <row r="252" spans="1:11" s="3" customFormat="1">
      <c r="A252" s="31"/>
    </row>
    <row r="253" spans="1:11" s="3" customFormat="1">
      <c r="A253" s="3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0"/>
  <sheetViews>
    <sheetView tabSelected="1" topLeftCell="A147" zoomScale="125" workbookViewId="0">
      <selection activeCell="H169" sqref="H169"/>
    </sheetView>
  </sheetViews>
  <sheetFormatPr baseColWidth="10" defaultRowHeight="13" x14ac:dyDescent="0"/>
  <cols>
    <col min="1" max="1" width="10.7109375" style="94"/>
    <col min="2" max="5" width="12.5703125" style="12" customWidth="1"/>
    <col min="6" max="11" width="10.85546875" style="12" customWidth="1"/>
    <col min="12" max="16" width="10.140625" style="12" customWidth="1"/>
    <col min="17" max="17" width="7.7109375" style="12" customWidth="1"/>
    <col min="18" max="16384" width="10.7109375" style="12"/>
  </cols>
  <sheetData>
    <row r="1" spans="1:8">
      <c r="A1" s="89" t="s">
        <v>4</v>
      </c>
      <c r="B1" s="90"/>
      <c r="C1" s="91"/>
    </row>
    <row r="2" spans="1:8">
      <c r="A2" s="31"/>
      <c r="B2" s="92">
        <v>500</v>
      </c>
      <c r="C2" s="12" t="s">
        <v>105</v>
      </c>
      <c r="H2" s="12" t="s">
        <v>106</v>
      </c>
    </row>
    <row r="3" spans="1:8">
      <c r="A3" s="31"/>
      <c r="B3" s="93">
        <f>SQRT(9000)</f>
        <v>94.868329805051374</v>
      </c>
      <c r="C3" s="12" t="s">
        <v>107</v>
      </c>
    </row>
    <row r="4" spans="1:8">
      <c r="A4" s="89"/>
    </row>
    <row r="5" spans="1:8">
      <c r="A5" s="94" t="s">
        <v>108</v>
      </c>
    </row>
    <row r="9" spans="1:8" ht="14" thickBot="1"/>
    <row r="10" spans="1:8" ht="15">
      <c r="B10" s="69" t="s">
        <v>109</v>
      </c>
      <c r="C10" s="69" t="s">
        <v>110</v>
      </c>
      <c r="D10" s="69" t="s">
        <v>111</v>
      </c>
      <c r="E10" s="69" t="s">
        <v>112</v>
      </c>
      <c r="F10" s="69" t="s">
        <v>113</v>
      </c>
      <c r="G10" s="69" t="s">
        <v>114</v>
      </c>
      <c r="H10" s="95" t="s">
        <v>115</v>
      </c>
    </row>
    <row r="11" spans="1:8">
      <c r="A11" s="94" t="s">
        <v>116</v>
      </c>
      <c r="B11" s="96">
        <v>500</v>
      </c>
      <c r="C11" s="97" t="s">
        <v>106</v>
      </c>
      <c r="D11" s="98">
        <f>(B11-$B$2)/$B$3</f>
        <v>0</v>
      </c>
      <c r="E11" s="97" t="s">
        <v>106</v>
      </c>
      <c r="F11" s="98">
        <f>NORMSDIST(D11)</f>
        <v>0.5</v>
      </c>
      <c r="G11" s="98">
        <v>1</v>
      </c>
      <c r="H11" s="99">
        <f>G11-F11</f>
        <v>0.5</v>
      </c>
    </row>
    <row r="12" spans="1:8">
      <c r="A12" s="94" t="s">
        <v>117</v>
      </c>
      <c r="B12" s="100" t="s">
        <v>118</v>
      </c>
      <c r="C12" s="26">
        <v>400</v>
      </c>
      <c r="D12" s="100" t="s">
        <v>118</v>
      </c>
      <c r="E12" s="98">
        <f t="shared" ref="E12:E18" si="0">(C12-$B$2)/$B$3</f>
        <v>-1.0540925533894598</v>
      </c>
      <c r="F12" s="98">
        <v>0</v>
      </c>
      <c r="G12" s="98">
        <f t="shared" ref="G12:G18" si="1">NORMSDIST(E12)</f>
        <v>0.14592027257189419</v>
      </c>
      <c r="H12" s="99">
        <f t="shared" ref="H12:H18" si="2">G12-F12</f>
        <v>0.14592027257189419</v>
      </c>
    </row>
    <row r="13" spans="1:8">
      <c r="A13" s="94" t="s">
        <v>119</v>
      </c>
      <c r="B13" s="26">
        <v>620</v>
      </c>
      <c r="C13" s="97" t="s">
        <v>106</v>
      </c>
      <c r="D13" s="98">
        <f t="shared" ref="D13:D17" si="3">(B13-$B$2)/$B$3</f>
        <v>1.2649110640673518</v>
      </c>
      <c r="E13" s="97" t="s">
        <v>106</v>
      </c>
      <c r="F13" s="98">
        <f t="shared" ref="F13:F17" si="4">NORMSDIST(D13)</f>
        <v>0.89704839463396591</v>
      </c>
      <c r="G13" s="98">
        <v>1</v>
      </c>
      <c r="H13" s="99">
        <f t="shared" si="2"/>
        <v>0.10295160536603409</v>
      </c>
    </row>
    <row r="14" spans="1:8">
      <c r="A14" s="94" t="s">
        <v>120</v>
      </c>
      <c r="B14" s="26">
        <v>490</v>
      </c>
      <c r="C14" s="26">
        <v>530</v>
      </c>
      <c r="D14" s="98">
        <f t="shared" si="3"/>
        <v>-0.10540925533894599</v>
      </c>
      <c r="E14" s="98">
        <f t="shared" si="0"/>
        <v>0.31622776601683794</v>
      </c>
      <c r="F14" s="98">
        <f t="shared" si="4"/>
        <v>0.45802553614094821</v>
      </c>
      <c r="G14" s="98">
        <f t="shared" si="1"/>
        <v>0.62408518297707538</v>
      </c>
      <c r="H14" s="99">
        <f t="shared" si="2"/>
        <v>0.16605964683612717</v>
      </c>
    </row>
    <row r="15" spans="1:8">
      <c r="A15" s="94" t="s">
        <v>121</v>
      </c>
      <c r="B15" s="26">
        <v>305</v>
      </c>
      <c r="C15" s="26">
        <v>480</v>
      </c>
      <c r="D15" s="98">
        <f t="shared" si="3"/>
        <v>-2.0554804791094465</v>
      </c>
      <c r="E15" s="98">
        <f t="shared" si="0"/>
        <v>-0.21081851067789198</v>
      </c>
      <c r="F15" s="98">
        <f t="shared" si="4"/>
        <v>1.9916309622370718E-2</v>
      </c>
      <c r="G15" s="98">
        <f t="shared" si="1"/>
        <v>0.41651444685976063</v>
      </c>
      <c r="H15" s="99">
        <f t="shared" si="2"/>
        <v>0.3965981372373899</v>
      </c>
    </row>
    <row r="16" spans="1:8">
      <c r="A16" s="94" t="s">
        <v>122</v>
      </c>
      <c r="B16" s="26">
        <v>530</v>
      </c>
      <c r="C16" s="26">
        <v>600</v>
      </c>
      <c r="D16" s="98">
        <f t="shared" si="3"/>
        <v>0.31622776601683794</v>
      </c>
      <c r="E16" s="98">
        <f t="shared" si="0"/>
        <v>1.0540925533894598</v>
      </c>
      <c r="F16" s="98">
        <f t="shared" si="4"/>
        <v>0.62408518297707538</v>
      </c>
      <c r="G16" s="98">
        <f t="shared" si="1"/>
        <v>0.85407972742810578</v>
      </c>
      <c r="H16" s="99">
        <f t="shared" si="2"/>
        <v>0.2299945444510304</v>
      </c>
    </row>
    <row r="17" spans="1:8">
      <c r="A17" s="94" t="s">
        <v>123</v>
      </c>
      <c r="B17" s="26">
        <v>460</v>
      </c>
      <c r="C17" s="97" t="s">
        <v>124</v>
      </c>
      <c r="D17" s="98">
        <f t="shared" si="3"/>
        <v>-0.42163702135578396</v>
      </c>
      <c r="E17" s="97" t="s">
        <v>124</v>
      </c>
      <c r="F17" s="98">
        <f t="shared" si="4"/>
        <v>0.3366449898299978</v>
      </c>
      <c r="G17" s="98">
        <v>1</v>
      </c>
      <c r="H17" s="99">
        <f t="shared" si="2"/>
        <v>0.6633550101700022</v>
      </c>
    </row>
    <row r="18" spans="1:8" ht="14" thickBot="1">
      <c r="A18" s="94" t="s">
        <v>125</v>
      </c>
      <c r="B18" s="100" t="s">
        <v>118</v>
      </c>
      <c r="C18" s="26">
        <v>590</v>
      </c>
      <c r="D18" s="100" t="s">
        <v>118</v>
      </c>
      <c r="E18" s="98">
        <f t="shared" si="0"/>
        <v>0.94868329805051388</v>
      </c>
      <c r="F18" s="98">
        <v>0</v>
      </c>
      <c r="G18" s="98">
        <f t="shared" si="1"/>
        <v>0.82860914442604428</v>
      </c>
      <c r="H18" s="101">
        <f t="shared" si="2"/>
        <v>0.82860914442604428</v>
      </c>
    </row>
    <row r="19" spans="1:8">
      <c r="B19" s="26"/>
      <c r="C19" s="26"/>
      <c r="D19" s="70"/>
      <c r="E19" s="70"/>
      <c r="F19" s="70"/>
      <c r="G19" s="70"/>
      <c r="H19" s="70"/>
    </row>
    <row r="20" spans="1:8">
      <c r="B20" s="26"/>
      <c r="C20" s="26"/>
      <c r="D20" s="70"/>
      <c r="E20" s="70"/>
      <c r="F20" s="70"/>
      <c r="G20" s="70"/>
      <c r="H20" s="70"/>
    </row>
    <row r="21" spans="1:8">
      <c r="A21" s="89" t="s">
        <v>126</v>
      </c>
      <c r="B21" s="90" t="s">
        <v>127</v>
      </c>
      <c r="C21" s="91"/>
    </row>
    <row r="22" spans="1:8">
      <c r="A22" s="31"/>
      <c r="B22" s="92">
        <v>95</v>
      </c>
      <c r="C22" s="12" t="s">
        <v>128</v>
      </c>
    </row>
    <row r="23" spans="1:8" ht="14" thickBot="1">
      <c r="A23" s="31"/>
      <c r="B23" s="92">
        <v>17</v>
      </c>
      <c r="C23" s="12" t="s">
        <v>129</v>
      </c>
    </row>
    <row r="24" spans="1:8" ht="15">
      <c r="B24" s="69" t="s">
        <v>109</v>
      </c>
      <c r="C24" s="69" t="s">
        <v>110</v>
      </c>
      <c r="D24" s="69" t="s">
        <v>111</v>
      </c>
      <c r="E24" s="69" t="s">
        <v>112</v>
      </c>
      <c r="F24" s="69" t="s">
        <v>113</v>
      </c>
      <c r="G24" s="69" t="s">
        <v>114</v>
      </c>
      <c r="H24" s="95" t="s">
        <v>115</v>
      </c>
    </row>
    <row r="25" spans="1:8">
      <c r="A25" s="94" t="s">
        <v>26</v>
      </c>
      <c r="B25" s="102" t="s">
        <v>130</v>
      </c>
      <c r="C25" s="96">
        <v>65</v>
      </c>
      <c r="D25" s="102" t="s">
        <v>130</v>
      </c>
      <c r="E25" s="98">
        <f>(C25-$B$22)/$B$23</f>
        <v>-1.7647058823529411</v>
      </c>
      <c r="F25" s="98">
        <v>0</v>
      </c>
      <c r="G25" s="98">
        <f>NORMSDIST(E25)</f>
        <v>3.8806604728851196E-2</v>
      </c>
      <c r="H25" s="99">
        <f>G25-F25</f>
        <v>3.8806604728851196E-2</v>
      </c>
    </row>
    <row r="26" spans="1:8">
      <c r="A26" s="94" t="s">
        <v>116</v>
      </c>
      <c r="B26" s="26">
        <v>77</v>
      </c>
      <c r="C26" s="97" t="s">
        <v>106</v>
      </c>
      <c r="D26" s="98">
        <f t="shared" ref="D26:D31" si="5">(B26-$B$22)/$B$23</f>
        <v>-1.0588235294117647</v>
      </c>
      <c r="E26" s="97" t="s">
        <v>106</v>
      </c>
      <c r="F26" s="98">
        <f t="shared" ref="F26:F31" si="6">NORMSDIST(D26)</f>
        <v>0.14484007786734304</v>
      </c>
      <c r="G26" s="98">
        <v>1</v>
      </c>
      <c r="H26" s="99">
        <f t="shared" ref="H26:H31" si="7">G26-F26</f>
        <v>0.8551599221326569</v>
      </c>
    </row>
    <row r="27" spans="1:8">
      <c r="A27" s="94" t="s">
        <v>117</v>
      </c>
      <c r="B27" s="102" t="s">
        <v>130</v>
      </c>
      <c r="C27" s="26">
        <v>112</v>
      </c>
      <c r="D27" s="102" t="s">
        <v>130</v>
      </c>
      <c r="E27" s="98">
        <f t="shared" ref="E27:E31" si="8">(C27-$B$22)/$B$23</f>
        <v>1</v>
      </c>
      <c r="F27" s="98">
        <v>0</v>
      </c>
      <c r="G27" s="98">
        <f t="shared" ref="G27:G31" si="9">NORMSDIST(E27)</f>
        <v>0.84134474606854304</v>
      </c>
      <c r="H27" s="99">
        <f t="shared" si="7"/>
        <v>0.84134474606854304</v>
      </c>
    </row>
    <row r="28" spans="1:8">
      <c r="A28" s="94" t="s">
        <v>131</v>
      </c>
      <c r="B28" s="26">
        <v>120</v>
      </c>
      <c r="C28" s="97" t="s">
        <v>106</v>
      </c>
      <c r="D28" s="98">
        <f t="shared" si="5"/>
        <v>1.4705882352941178</v>
      </c>
      <c r="E28" s="97" t="s">
        <v>106</v>
      </c>
      <c r="F28" s="98">
        <f t="shared" si="6"/>
        <v>0.92929874625669351</v>
      </c>
      <c r="G28" s="98">
        <v>1</v>
      </c>
      <c r="H28" s="99">
        <f t="shared" si="7"/>
        <v>7.0701253743306491E-2</v>
      </c>
    </row>
    <row r="29" spans="1:8">
      <c r="A29" s="94" t="s">
        <v>132</v>
      </c>
      <c r="B29" s="26">
        <v>69</v>
      </c>
      <c r="C29" s="26">
        <v>115</v>
      </c>
      <c r="D29" s="98">
        <f t="shared" si="5"/>
        <v>-1.5294117647058822</v>
      </c>
      <c r="E29" s="98">
        <f t="shared" si="8"/>
        <v>1.1764705882352942</v>
      </c>
      <c r="F29" s="98">
        <f t="shared" si="6"/>
        <v>6.3081198871240945E-2</v>
      </c>
      <c r="G29" s="98">
        <f t="shared" si="9"/>
        <v>0.88029656060160533</v>
      </c>
      <c r="H29" s="99">
        <f t="shared" si="7"/>
        <v>0.81721536173036435</v>
      </c>
    </row>
    <row r="30" spans="1:8">
      <c r="A30" s="94" t="s">
        <v>121</v>
      </c>
      <c r="B30" s="26">
        <v>92</v>
      </c>
      <c r="C30" s="26">
        <v>100</v>
      </c>
      <c r="D30" s="98">
        <f t="shared" si="5"/>
        <v>-0.17647058823529413</v>
      </c>
      <c r="E30" s="98">
        <f t="shared" si="8"/>
        <v>0.29411764705882354</v>
      </c>
      <c r="F30" s="98">
        <f t="shared" si="6"/>
        <v>0.42996212661910677</v>
      </c>
      <c r="G30" s="98">
        <f t="shared" si="9"/>
        <v>0.61566599671959565</v>
      </c>
      <c r="H30" s="99">
        <f t="shared" si="7"/>
        <v>0.18570387010048889</v>
      </c>
    </row>
    <row r="31" spans="1:8" ht="14" thickBot="1">
      <c r="A31" s="94" t="s">
        <v>122</v>
      </c>
      <c r="B31" s="26">
        <v>100</v>
      </c>
      <c r="C31" s="26">
        <v>108</v>
      </c>
      <c r="D31" s="98">
        <f t="shared" si="5"/>
        <v>0.29411764705882354</v>
      </c>
      <c r="E31" s="98">
        <f t="shared" si="8"/>
        <v>0.76470588235294112</v>
      </c>
      <c r="F31" s="98">
        <f t="shared" si="6"/>
        <v>0.61566599671959565</v>
      </c>
      <c r="G31" s="98">
        <f t="shared" si="9"/>
        <v>0.77777664868253793</v>
      </c>
      <c r="H31" s="101">
        <f t="shared" si="7"/>
        <v>0.16211065196294228</v>
      </c>
    </row>
    <row r="32" spans="1:8">
      <c r="A32" s="89"/>
      <c r="B32" s="26"/>
      <c r="C32" s="26"/>
      <c r="D32" s="70"/>
      <c r="E32" s="70"/>
      <c r="F32" s="70"/>
      <c r="G32" s="70"/>
      <c r="H32" s="70"/>
    </row>
    <row r="33" spans="1:8">
      <c r="A33" s="103"/>
      <c r="B33" s="26"/>
      <c r="C33" s="26"/>
      <c r="D33" s="70"/>
      <c r="E33" s="70"/>
      <c r="F33" s="70"/>
      <c r="G33" s="70"/>
      <c r="H33" s="70"/>
    </row>
    <row r="34" spans="1:8">
      <c r="A34" s="89" t="s">
        <v>133</v>
      </c>
      <c r="B34" s="90" t="s">
        <v>134</v>
      </c>
      <c r="C34" s="91"/>
    </row>
    <row r="35" spans="1:8">
      <c r="A35" s="31"/>
      <c r="B35" s="92">
        <v>52</v>
      </c>
      <c r="C35" s="12" t="s">
        <v>128</v>
      </c>
    </row>
    <row r="36" spans="1:8" ht="15">
      <c r="A36" s="31"/>
      <c r="B36" s="92">
        <v>18</v>
      </c>
      <c r="C36" s="12" t="s">
        <v>135</v>
      </c>
    </row>
    <row r="37" spans="1:8" ht="14" thickBot="1">
      <c r="A37" s="31"/>
      <c r="B37" s="12">
        <f>SQRT(B36)</f>
        <v>4.2426406871192848</v>
      </c>
      <c r="C37" s="12" t="s">
        <v>136</v>
      </c>
    </row>
    <row r="38" spans="1:8" ht="15">
      <c r="B38" s="69" t="s">
        <v>109</v>
      </c>
      <c r="C38" s="69" t="s">
        <v>110</v>
      </c>
      <c r="D38" s="69" t="s">
        <v>111</v>
      </c>
      <c r="E38" s="69" t="s">
        <v>112</v>
      </c>
      <c r="F38" s="69" t="s">
        <v>113</v>
      </c>
      <c r="G38" s="69" t="s">
        <v>114</v>
      </c>
      <c r="H38" s="95" t="s">
        <v>115</v>
      </c>
    </row>
    <row r="39" spans="1:8">
      <c r="A39" s="94" t="s">
        <v>26</v>
      </c>
      <c r="B39" s="96">
        <v>45</v>
      </c>
      <c r="C39" s="96">
        <v>55</v>
      </c>
      <c r="D39" s="98">
        <f t="shared" ref="D39:E41" si="10">(B39-$B$35)/$B$37</f>
        <v>-1.649915822768611</v>
      </c>
      <c r="E39" s="98">
        <f t="shared" si="10"/>
        <v>0.70710678118654757</v>
      </c>
      <c r="F39" s="98">
        <f>NORMSDIST(D39)</f>
        <v>4.9480077009702868E-2</v>
      </c>
      <c r="G39" s="98">
        <f>NORMSDIST(E39)</f>
        <v>0.76024993890652337</v>
      </c>
      <c r="H39" s="99">
        <f>G39-F39</f>
        <v>0.71076986189682045</v>
      </c>
    </row>
    <row r="40" spans="1:8">
      <c r="A40" s="94" t="s">
        <v>116</v>
      </c>
      <c r="B40" s="26">
        <v>39</v>
      </c>
      <c r="C40" s="26">
        <v>48</v>
      </c>
      <c r="D40" s="98">
        <f t="shared" si="10"/>
        <v>-3.0641293851417064</v>
      </c>
      <c r="E40" s="98">
        <f t="shared" si="10"/>
        <v>-0.94280904158206347</v>
      </c>
      <c r="F40" s="98">
        <f t="shared" ref="F40:G42" si="11">NORMSDIST(D40)</f>
        <v>1.0915223686811248E-3</v>
      </c>
      <c r="G40" s="98">
        <f t="shared" si="11"/>
        <v>0.17288929307558012</v>
      </c>
      <c r="H40" s="99">
        <f t="shared" ref="H40:H42" si="12">G40-F40</f>
        <v>0.171797770706899</v>
      </c>
    </row>
    <row r="41" spans="1:8">
      <c r="A41" s="94" t="s">
        <v>117</v>
      </c>
      <c r="B41" s="96">
        <v>52</v>
      </c>
      <c r="C41" s="26">
        <v>61</v>
      </c>
      <c r="D41" s="98">
        <f t="shared" si="10"/>
        <v>0</v>
      </c>
      <c r="E41" s="98">
        <f t="shared" si="10"/>
        <v>2.1213203435596428</v>
      </c>
      <c r="F41" s="98">
        <f t="shared" si="11"/>
        <v>0.5</v>
      </c>
      <c r="G41" s="98">
        <f t="shared" si="11"/>
        <v>0.98305257323765538</v>
      </c>
      <c r="H41" s="99">
        <f t="shared" si="12"/>
        <v>0.48305257323765538</v>
      </c>
    </row>
    <row r="42" spans="1:8" ht="14" thickBot="1">
      <c r="A42" s="94" t="s">
        <v>119</v>
      </c>
      <c r="B42" s="102" t="s">
        <v>130</v>
      </c>
      <c r="C42" s="26">
        <v>43</v>
      </c>
      <c r="D42" s="102" t="s">
        <v>130</v>
      </c>
      <c r="E42" s="98">
        <f>(C42-$B$35)/$B$37</f>
        <v>-2.1213203435596428</v>
      </c>
      <c r="F42" s="98">
        <v>0</v>
      </c>
      <c r="G42" s="98">
        <f t="shared" si="11"/>
        <v>1.6947426762344623E-2</v>
      </c>
      <c r="H42" s="101">
        <f t="shared" si="12"/>
        <v>1.6947426762344623E-2</v>
      </c>
    </row>
    <row r="45" spans="1:8">
      <c r="A45" s="89" t="s">
        <v>137</v>
      </c>
      <c r="B45" s="90" t="s">
        <v>134</v>
      </c>
      <c r="C45" s="91"/>
    </row>
    <row r="46" spans="1:8">
      <c r="A46" s="31"/>
      <c r="B46" s="92">
        <v>65</v>
      </c>
      <c r="C46" s="12" t="s">
        <v>128</v>
      </c>
    </row>
    <row r="47" spans="1:8" ht="14" thickBot="1">
      <c r="A47" s="31"/>
      <c r="B47" s="104">
        <v>4.5</v>
      </c>
      <c r="C47" s="12" t="s">
        <v>136</v>
      </c>
    </row>
    <row r="48" spans="1:8" ht="15">
      <c r="B48" s="69" t="s">
        <v>109</v>
      </c>
      <c r="C48" s="69" t="s">
        <v>110</v>
      </c>
      <c r="D48" s="69" t="s">
        <v>111</v>
      </c>
      <c r="E48" s="69" t="s">
        <v>112</v>
      </c>
      <c r="F48" s="69" t="s">
        <v>113</v>
      </c>
      <c r="G48" s="69" t="s">
        <v>114</v>
      </c>
      <c r="H48" s="95" t="s">
        <v>115</v>
      </c>
    </row>
    <row r="49" spans="1:8">
      <c r="A49" s="94" t="s">
        <v>26</v>
      </c>
      <c r="B49" s="96">
        <v>64</v>
      </c>
      <c r="C49" s="96">
        <v>67</v>
      </c>
      <c r="D49" s="98">
        <f>(B49-$B$46)/$B$47</f>
        <v>-0.22222222222222221</v>
      </c>
      <c r="E49" s="98">
        <f>(C49-$B$46)/$B$47</f>
        <v>0.44444444444444442</v>
      </c>
      <c r="F49" s="98">
        <f>NORMSDIST(D49)</f>
        <v>0.4120704478709426</v>
      </c>
      <c r="G49" s="98">
        <f>NORMSDIST(E49)</f>
        <v>0.67163935671811481</v>
      </c>
      <c r="H49" s="99">
        <f>G49-F49</f>
        <v>0.25956890884717221</v>
      </c>
    </row>
    <row r="50" spans="1:8">
      <c r="A50" s="94" t="s">
        <v>116</v>
      </c>
      <c r="B50" s="26">
        <v>61</v>
      </c>
      <c r="C50" s="26">
        <v>63</v>
      </c>
      <c r="D50" s="98">
        <f t="shared" ref="D50:E52" si="13">(B50-$B$46)/$B$47</f>
        <v>-0.88888888888888884</v>
      </c>
      <c r="E50" s="98">
        <f t="shared" si="13"/>
        <v>-0.44444444444444442</v>
      </c>
      <c r="F50" s="98">
        <f t="shared" ref="F50:G52" si="14">NORMSDIST(D50)</f>
        <v>0.18703139874544125</v>
      </c>
      <c r="G50" s="98">
        <f t="shared" si="14"/>
        <v>0.32836064328188519</v>
      </c>
      <c r="H50" s="99">
        <f t="shared" ref="H50:H55" si="15">G50-F50</f>
        <v>0.14132924453644394</v>
      </c>
    </row>
    <row r="51" spans="1:8">
      <c r="A51" s="94" t="s">
        <v>117</v>
      </c>
      <c r="B51" s="96">
        <v>66</v>
      </c>
      <c r="C51" s="26">
        <v>67</v>
      </c>
      <c r="D51" s="98">
        <f t="shared" si="13"/>
        <v>0.22222222222222221</v>
      </c>
      <c r="E51" s="98">
        <f t="shared" si="13"/>
        <v>0.44444444444444442</v>
      </c>
      <c r="F51" s="98">
        <f t="shared" si="14"/>
        <v>0.5879295521290574</v>
      </c>
      <c r="G51" s="98">
        <f t="shared" si="14"/>
        <v>0.67163935671811481</v>
      </c>
      <c r="H51" s="99">
        <f t="shared" si="15"/>
        <v>8.3709804589057413E-2</v>
      </c>
    </row>
    <row r="52" spans="1:8">
      <c r="A52" s="94" t="s">
        <v>119</v>
      </c>
      <c r="B52" s="102" t="s">
        <v>130</v>
      </c>
      <c r="C52" s="26">
        <v>64</v>
      </c>
      <c r="D52" s="102" t="s">
        <v>130</v>
      </c>
      <c r="E52" s="98">
        <f t="shared" si="13"/>
        <v>-0.22222222222222221</v>
      </c>
      <c r="F52" s="98">
        <v>0</v>
      </c>
      <c r="G52" s="98">
        <f t="shared" si="14"/>
        <v>0.4120704478709426</v>
      </c>
      <c r="H52" s="99">
        <f t="shared" si="15"/>
        <v>0.4120704478709426</v>
      </c>
    </row>
    <row r="53" spans="1:8">
      <c r="A53" s="94" t="s">
        <v>132</v>
      </c>
      <c r="B53" s="26">
        <v>60</v>
      </c>
      <c r="C53" s="97" t="s">
        <v>106</v>
      </c>
      <c r="D53" s="98">
        <f t="shared" ref="D53" si="16">(B53-$B$46)/$B$47</f>
        <v>-1.1111111111111112</v>
      </c>
      <c r="E53" s="97" t="s">
        <v>106</v>
      </c>
      <c r="F53" s="98">
        <f t="shared" ref="F53" si="17">NORMSDIST(D53)</f>
        <v>0.13326026290250542</v>
      </c>
      <c r="G53" s="98">
        <v>1</v>
      </c>
      <c r="H53" s="99">
        <f t="shared" si="15"/>
        <v>0.86673973709749452</v>
      </c>
    </row>
    <row r="54" spans="1:8">
      <c r="A54" s="94" t="s">
        <v>121</v>
      </c>
      <c r="B54" s="102" t="s">
        <v>130</v>
      </c>
      <c r="C54" s="26">
        <v>40</v>
      </c>
      <c r="D54" s="102" t="s">
        <v>130</v>
      </c>
      <c r="E54" s="98">
        <f t="shared" ref="E54:E55" si="18">(C54-$B$46)/$B$47</f>
        <v>-5.5555555555555554</v>
      </c>
      <c r="F54" s="98">
        <v>0</v>
      </c>
      <c r="G54" s="98">
        <f t="shared" ref="G54:G55" si="19">NORMSDIST(E54)</f>
        <v>1.3836508957768797E-8</v>
      </c>
      <c r="H54" s="99">
        <f t="shared" si="15"/>
        <v>1.3836508957768797E-8</v>
      </c>
    </row>
    <row r="55" spans="1:8" ht="14" thickBot="1">
      <c r="A55" s="94" t="s">
        <v>122</v>
      </c>
      <c r="B55" s="102" t="s">
        <v>130</v>
      </c>
      <c r="C55" s="26">
        <v>100</v>
      </c>
      <c r="D55" s="102" t="s">
        <v>130</v>
      </c>
      <c r="E55" s="98">
        <f t="shared" si="18"/>
        <v>7.7777777777777777</v>
      </c>
      <c r="F55" s="98">
        <v>0</v>
      </c>
      <c r="G55" s="98">
        <f t="shared" si="19"/>
        <v>0.99999999999999634</v>
      </c>
      <c r="H55" s="101">
        <f t="shared" si="15"/>
        <v>0.99999999999999634</v>
      </c>
    </row>
    <row r="56" spans="1:8">
      <c r="H56" s="6"/>
    </row>
    <row r="58" spans="1:8">
      <c r="A58" s="89" t="s">
        <v>138</v>
      </c>
      <c r="B58" s="90" t="s">
        <v>134</v>
      </c>
      <c r="C58" s="91"/>
    </row>
    <row r="59" spans="1:8">
      <c r="A59" s="31"/>
      <c r="B59" s="92">
        <v>305</v>
      </c>
      <c r="C59" s="12" t="s">
        <v>128</v>
      </c>
    </row>
    <row r="60" spans="1:8" ht="14" thickBot="1">
      <c r="A60" s="31"/>
      <c r="B60" s="92">
        <v>60</v>
      </c>
      <c r="C60" s="12" t="s">
        <v>136</v>
      </c>
    </row>
    <row r="61" spans="1:8" ht="15">
      <c r="B61" s="69" t="s">
        <v>109</v>
      </c>
      <c r="C61" s="69" t="s">
        <v>110</v>
      </c>
      <c r="D61" s="69" t="s">
        <v>111</v>
      </c>
      <c r="E61" s="69" t="s">
        <v>112</v>
      </c>
      <c r="F61" s="69" t="s">
        <v>113</v>
      </c>
      <c r="G61" s="69" t="s">
        <v>114</v>
      </c>
      <c r="H61" s="95" t="s">
        <v>115</v>
      </c>
    </row>
    <row r="62" spans="1:8">
      <c r="A62" s="94" t="s">
        <v>26</v>
      </c>
      <c r="B62" s="102" t="s">
        <v>130</v>
      </c>
      <c r="C62" s="26">
        <v>150</v>
      </c>
      <c r="D62" s="102" t="s">
        <v>130</v>
      </c>
      <c r="E62" s="98">
        <f>(C62-$B$59)/$B$60</f>
        <v>-2.5833333333333335</v>
      </c>
      <c r="F62" s="98">
        <v>0</v>
      </c>
      <c r="G62" s="98">
        <f>NORMSDIST(E62)</f>
        <v>4.8925366022349792E-3</v>
      </c>
      <c r="H62" s="99">
        <f>G62-F62</f>
        <v>4.8925366022349792E-3</v>
      </c>
    </row>
    <row r="63" spans="1:8">
      <c r="A63" s="94" t="s">
        <v>116</v>
      </c>
      <c r="B63" s="102" t="s">
        <v>130</v>
      </c>
      <c r="C63" s="26">
        <v>200</v>
      </c>
      <c r="D63" s="102" t="s">
        <v>130</v>
      </c>
      <c r="E63" s="98">
        <f t="shared" ref="E63:E66" si="20">(C63-$B$59)/$B$60</f>
        <v>-1.75</v>
      </c>
      <c r="F63" s="98">
        <v>0</v>
      </c>
      <c r="G63" s="98">
        <f t="shared" ref="G63:G66" si="21">NORMSDIST(E63)</f>
        <v>4.00591568638171E-2</v>
      </c>
      <c r="H63" s="99">
        <f t="shared" ref="H63:H66" si="22">G63-F63</f>
        <v>4.00591568638171E-2</v>
      </c>
    </row>
    <row r="64" spans="1:8">
      <c r="A64" s="94" t="s">
        <v>117</v>
      </c>
      <c r="B64" s="102" t="s">
        <v>130</v>
      </c>
      <c r="C64" s="26">
        <v>280</v>
      </c>
      <c r="D64" s="102" t="s">
        <v>130</v>
      </c>
      <c r="E64" s="98">
        <f t="shared" si="20"/>
        <v>-0.41666666666666669</v>
      </c>
      <c r="F64" s="98">
        <v>0</v>
      </c>
      <c r="G64" s="98">
        <f t="shared" si="21"/>
        <v>0.33846111951068963</v>
      </c>
      <c r="H64" s="99">
        <f t="shared" si="22"/>
        <v>0.33846111951068963</v>
      </c>
    </row>
    <row r="65" spans="1:8">
      <c r="A65" s="94" t="s">
        <v>119</v>
      </c>
      <c r="B65" s="102" t="s">
        <v>130</v>
      </c>
      <c r="C65" s="26">
        <v>310</v>
      </c>
      <c r="D65" s="102" t="s">
        <v>130</v>
      </c>
      <c r="E65" s="98">
        <f t="shared" si="20"/>
        <v>8.3333333333333329E-2</v>
      </c>
      <c r="F65" s="98">
        <v>0</v>
      </c>
      <c r="G65" s="98">
        <f t="shared" si="21"/>
        <v>0.53320675185262223</v>
      </c>
      <c r="H65" s="99">
        <f t="shared" si="22"/>
        <v>0.53320675185262223</v>
      </c>
    </row>
    <row r="66" spans="1:8" ht="14" thickBot="1">
      <c r="A66" s="94" t="s">
        <v>132</v>
      </c>
      <c r="B66" s="102" t="s">
        <v>130</v>
      </c>
      <c r="C66" s="26">
        <v>50</v>
      </c>
      <c r="D66" s="102" t="s">
        <v>130</v>
      </c>
      <c r="E66" s="98">
        <f t="shared" si="20"/>
        <v>-4.25</v>
      </c>
      <c r="F66" s="98">
        <v>0</v>
      </c>
      <c r="G66" s="98">
        <f t="shared" si="21"/>
        <v>1.06885257749344E-5</v>
      </c>
      <c r="H66" s="101">
        <f t="shared" si="22"/>
        <v>1.06885257749344E-5</v>
      </c>
    </row>
    <row r="69" spans="1:8">
      <c r="A69" s="89" t="s">
        <v>139</v>
      </c>
      <c r="B69" s="90" t="s">
        <v>134</v>
      </c>
      <c r="C69" s="91"/>
    </row>
    <row r="70" spans="1:8">
      <c r="A70" s="31"/>
      <c r="B70" s="104">
        <v>11</v>
      </c>
      <c r="C70" s="12" t="s">
        <v>128</v>
      </c>
    </row>
    <row r="71" spans="1:8" ht="15">
      <c r="A71" s="31"/>
      <c r="B71" s="104">
        <v>9</v>
      </c>
      <c r="C71" s="12" t="s">
        <v>135</v>
      </c>
    </row>
    <row r="72" spans="1:8" ht="14" thickBot="1">
      <c r="A72" s="31"/>
      <c r="B72" s="12">
        <f>SQRT(B71)</f>
        <v>3</v>
      </c>
      <c r="C72" s="12" t="s">
        <v>136</v>
      </c>
    </row>
    <row r="73" spans="1:8" ht="15">
      <c r="B73" s="69" t="s">
        <v>109</v>
      </c>
      <c r="C73" s="69" t="s">
        <v>110</v>
      </c>
      <c r="D73" s="69" t="s">
        <v>111</v>
      </c>
      <c r="E73" s="69" t="s">
        <v>112</v>
      </c>
      <c r="F73" s="69" t="s">
        <v>113</v>
      </c>
      <c r="G73" s="69" t="s">
        <v>114</v>
      </c>
      <c r="H73" s="95" t="s">
        <v>115</v>
      </c>
    </row>
    <row r="74" spans="1:8">
      <c r="A74" s="94" t="s">
        <v>26</v>
      </c>
      <c r="B74" s="26">
        <v>9</v>
      </c>
      <c r="C74" s="26">
        <v>12</v>
      </c>
      <c r="D74" s="98">
        <f>(B74-$B$70)/$B$72</f>
        <v>-0.66666666666666663</v>
      </c>
      <c r="E74" s="98">
        <f>(C74-$B$70)/$B$72</f>
        <v>0.33333333333333331</v>
      </c>
      <c r="F74" s="98">
        <f>NORMSDIST(D74)</f>
        <v>0.25249253754692291</v>
      </c>
      <c r="G74" s="98">
        <f>NORMSDIST(E74)</f>
        <v>0.63055865981823644</v>
      </c>
      <c r="H74" s="99">
        <f>G74-F74</f>
        <v>0.37806612227131353</v>
      </c>
    </row>
    <row r="75" spans="1:8">
      <c r="A75" s="94" t="s">
        <v>116</v>
      </c>
      <c r="B75" s="26">
        <v>7</v>
      </c>
      <c r="C75" s="26">
        <v>8</v>
      </c>
      <c r="D75" s="98">
        <f t="shared" ref="D75:E78" si="23">(B75-$B$70)/$B$72</f>
        <v>-1.3333333333333333</v>
      </c>
      <c r="E75" s="98">
        <f t="shared" si="23"/>
        <v>-1</v>
      </c>
      <c r="F75" s="98">
        <f t="shared" ref="F75:G78" si="24">NORMSDIST(D75)</f>
        <v>9.1211219725867876E-2</v>
      </c>
      <c r="G75" s="98">
        <f t="shared" si="24"/>
        <v>0.15865525393145699</v>
      </c>
      <c r="H75" s="99">
        <f t="shared" ref="H75:H78" si="25">G75-F75</f>
        <v>6.7444034205589115E-2</v>
      </c>
    </row>
    <row r="76" spans="1:8">
      <c r="A76" s="94" t="s">
        <v>117</v>
      </c>
      <c r="B76" s="26">
        <v>11</v>
      </c>
      <c r="C76" s="97" t="s">
        <v>106</v>
      </c>
      <c r="D76" s="98">
        <f t="shared" si="23"/>
        <v>0</v>
      </c>
      <c r="E76" s="97" t="s">
        <v>106</v>
      </c>
      <c r="F76" s="98">
        <f t="shared" si="24"/>
        <v>0.5</v>
      </c>
      <c r="G76" s="98">
        <v>1</v>
      </c>
      <c r="H76" s="99">
        <f t="shared" si="25"/>
        <v>0.5</v>
      </c>
    </row>
    <row r="77" spans="1:8">
      <c r="A77" s="94" t="s">
        <v>119</v>
      </c>
      <c r="B77" s="102" t="s">
        <v>130</v>
      </c>
      <c r="C77" s="105">
        <v>9.5</v>
      </c>
      <c r="D77" s="102" t="s">
        <v>130</v>
      </c>
      <c r="E77" s="98">
        <f t="shared" si="23"/>
        <v>-0.5</v>
      </c>
      <c r="F77" s="98">
        <v>0</v>
      </c>
      <c r="G77" s="98">
        <f t="shared" si="24"/>
        <v>0.30853753872598688</v>
      </c>
      <c r="H77" s="99">
        <f t="shared" si="25"/>
        <v>0.30853753872598688</v>
      </c>
    </row>
    <row r="78" spans="1:8" ht="14" thickBot="1">
      <c r="A78" s="94" t="s">
        <v>132</v>
      </c>
      <c r="B78" s="26">
        <v>10</v>
      </c>
      <c r="C78" s="26">
        <v>10</v>
      </c>
      <c r="D78" s="98">
        <f t="shared" si="23"/>
        <v>-0.33333333333333331</v>
      </c>
      <c r="E78" s="98">
        <f t="shared" si="23"/>
        <v>-0.33333333333333331</v>
      </c>
      <c r="F78" s="98">
        <f t="shared" si="24"/>
        <v>0.36944134018176361</v>
      </c>
      <c r="G78" s="98">
        <f t="shared" si="24"/>
        <v>0.36944134018176361</v>
      </c>
      <c r="H78" s="101">
        <f t="shared" si="25"/>
        <v>0</v>
      </c>
    </row>
    <row r="81" spans="1:8">
      <c r="A81" s="89" t="s">
        <v>140</v>
      </c>
      <c r="B81" s="90" t="s">
        <v>134</v>
      </c>
      <c r="C81" s="91"/>
    </row>
    <row r="82" spans="1:8">
      <c r="A82" s="31"/>
      <c r="B82" s="92">
        <v>22</v>
      </c>
      <c r="C82" s="12" t="s">
        <v>128</v>
      </c>
    </row>
    <row r="83" spans="1:8" ht="14" thickBot="1">
      <c r="A83" s="31"/>
      <c r="B83" s="104">
        <v>2.2000000000000002</v>
      </c>
      <c r="C83" s="12" t="s">
        <v>136</v>
      </c>
    </row>
    <row r="84" spans="1:8" ht="15">
      <c r="B84" s="69" t="s">
        <v>109</v>
      </c>
      <c r="C84" s="69" t="s">
        <v>110</v>
      </c>
      <c r="D84" s="69" t="s">
        <v>111</v>
      </c>
      <c r="E84" s="69" t="s">
        <v>112</v>
      </c>
      <c r="F84" s="69" t="s">
        <v>113</v>
      </c>
      <c r="G84" s="69" t="s">
        <v>114</v>
      </c>
      <c r="H84" s="95" t="s">
        <v>115</v>
      </c>
    </row>
    <row r="85" spans="1:8">
      <c r="A85" s="94" t="s">
        <v>26</v>
      </c>
      <c r="B85" s="105">
        <v>24.2</v>
      </c>
      <c r="C85" s="97" t="s">
        <v>106</v>
      </c>
      <c r="D85" s="98">
        <f>(B85-$B$82)/$B$83</f>
        <v>0.99999999999999956</v>
      </c>
      <c r="E85" s="97" t="s">
        <v>106</v>
      </c>
      <c r="F85" s="98">
        <f>NORMSDIST(D85)</f>
        <v>0.84134474606854293</v>
      </c>
      <c r="G85" s="98">
        <v>1</v>
      </c>
      <c r="H85" s="99">
        <f>G85-F85</f>
        <v>0.15865525393145707</v>
      </c>
    </row>
    <row r="86" spans="1:8">
      <c r="A86" s="94" t="s">
        <v>116</v>
      </c>
      <c r="B86" s="105">
        <v>24</v>
      </c>
      <c r="C86" s="105">
        <v>25.5</v>
      </c>
      <c r="D86" s="98">
        <f t="shared" ref="D86:E87" si="26">(B86-$B$82)/$B$83</f>
        <v>0.90909090909090906</v>
      </c>
      <c r="E86" s="98">
        <f t="shared" si="26"/>
        <v>1.5909090909090908</v>
      </c>
      <c r="F86" s="98">
        <f t="shared" ref="F86:G87" si="27">NORMSDIST(D86)</f>
        <v>0.81834892955655103</v>
      </c>
      <c r="G86" s="98">
        <f t="shared" si="27"/>
        <v>0.94418498182225485</v>
      </c>
      <c r="H86" s="99">
        <f t="shared" ref="H86:H87" si="28">G86-F86</f>
        <v>0.12583605226570382</v>
      </c>
    </row>
    <row r="87" spans="1:8" ht="14" thickBot="1">
      <c r="A87" s="94" t="s">
        <v>117</v>
      </c>
      <c r="B87" s="105">
        <v>25</v>
      </c>
      <c r="C87" s="26">
        <v>25</v>
      </c>
      <c r="D87" s="98">
        <f t="shared" si="26"/>
        <v>1.3636363636363635</v>
      </c>
      <c r="E87" s="98">
        <f t="shared" si="26"/>
        <v>1.3636363636363635</v>
      </c>
      <c r="F87" s="98">
        <f t="shared" si="27"/>
        <v>0.91365897929062578</v>
      </c>
      <c r="G87" s="98">
        <f t="shared" si="27"/>
        <v>0.91365897929062578</v>
      </c>
      <c r="H87" s="101">
        <f t="shared" si="28"/>
        <v>0</v>
      </c>
    </row>
    <row r="88" spans="1:8">
      <c r="C88" s="91"/>
    </row>
    <row r="90" spans="1:8">
      <c r="A90" s="89" t="s">
        <v>141</v>
      </c>
      <c r="B90" s="90" t="s">
        <v>134</v>
      </c>
      <c r="C90" s="91"/>
    </row>
    <row r="91" spans="1:8">
      <c r="A91" s="31"/>
      <c r="B91" s="93">
        <v>0.4</v>
      </c>
      <c r="C91" s="12" t="s">
        <v>142</v>
      </c>
    </row>
    <row r="92" spans="1:8">
      <c r="A92" s="31"/>
      <c r="B92" s="93">
        <v>0.17</v>
      </c>
      <c r="C92" s="12" t="s">
        <v>143</v>
      </c>
    </row>
    <row r="93" spans="1:8">
      <c r="B93" s="12">
        <f>1-(B91+B92)</f>
        <v>0.42999999999999994</v>
      </c>
      <c r="C93" s="12" t="s">
        <v>144</v>
      </c>
    </row>
    <row r="95" spans="1:8">
      <c r="A95" s="94" t="s">
        <v>26</v>
      </c>
      <c r="B95" s="28">
        <v>21</v>
      </c>
      <c r="C95" s="12" t="s">
        <v>145</v>
      </c>
    </row>
    <row r="96" spans="1:8">
      <c r="B96" s="90" t="s">
        <v>146</v>
      </c>
      <c r="C96" s="91"/>
    </row>
    <row r="97" spans="1:8">
      <c r="B97" s="106" t="s">
        <v>147</v>
      </c>
      <c r="C97" s="106" t="s">
        <v>33</v>
      </c>
    </row>
    <row r="98" spans="1:8">
      <c r="B98" s="26">
        <v>5</v>
      </c>
      <c r="C98" s="70">
        <f>BINOMDIST(B98,$B$95,$B$91,FALSE)</f>
        <v>5.8784527878985825E-2</v>
      </c>
    </row>
    <row r="99" spans="1:8">
      <c r="B99" s="26">
        <v>6</v>
      </c>
      <c r="C99" s="70">
        <f t="shared" ref="C99:C100" si="29">BINOMDIST(B99,$B$95,$B$91,FALSE)</f>
        <v>0.10450582734041934</v>
      </c>
    </row>
    <row r="100" spans="1:8">
      <c r="B100" s="26">
        <v>7</v>
      </c>
      <c r="C100" s="70">
        <f t="shared" si="29"/>
        <v>0.14929403905774191</v>
      </c>
    </row>
    <row r="101" spans="1:8" ht="14" thickBot="1">
      <c r="B101" s="70"/>
      <c r="C101" s="70"/>
    </row>
    <row r="102" spans="1:8" ht="14" thickBot="1">
      <c r="B102" s="107" t="s">
        <v>148</v>
      </c>
      <c r="C102" s="24">
        <f>SUM(C98:C100)</f>
        <v>0.31258439427714707</v>
      </c>
    </row>
    <row r="103" spans="1:8">
      <c r="B103" s="70"/>
      <c r="C103" s="70"/>
    </row>
    <row r="104" spans="1:8">
      <c r="A104" s="94" t="s">
        <v>149</v>
      </c>
      <c r="B104" s="90" t="s">
        <v>150</v>
      </c>
    </row>
    <row r="105" spans="1:8">
      <c r="B105" s="12">
        <f>B95*B91</f>
        <v>8.4</v>
      </c>
      <c r="C105" s="12" t="s">
        <v>128</v>
      </c>
    </row>
    <row r="106" spans="1:8" ht="14" thickBot="1">
      <c r="B106" s="12">
        <f>SQRT(B95*B91*(1-B91))</f>
        <v>2.2449944320643649</v>
      </c>
      <c r="C106" s="12" t="s">
        <v>136</v>
      </c>
    </row>
    <row r="107" spans="1:8" ht="15">
      <c r="B107" s="69" t="s">
        <v>109</v>
      </c>
      <c r="C107" s="69" t="s">
        <v>110</v>
      </c>
      <c r="D107" s="69" t="s">
        <v>111</v>
      </c>
      <c r="E107" s="69" t="s">
        <v>112</v>
      </c>
      <c r="F107" s="69" t="s">
        <v>113</v>
      </c>
      <c r="G107" s="69" t="s">
        <v>114</v>
      </c>
      <c r="H107" s="95" t="s">
        <v>115</v>
      </c>
    </row>
    <row r="108" spans="1:8" ht="14" thickBot="1">
      <c r="B108" s="105">
        <v>5</v>
      </c>
      <c r="C108" s="105">
        <v>7</v>
      </c>
      <c r="D108" s="98">
        <f>(B108-$B$105)/$B$106</f>
        <v>-1.5144803708370715</v>
      </c>
      <c r="E108" s="98">
        <f>(C108-$B$105)/$B$106</f>
        <v>-0.62360956446232374</v>
      </c>
      <c r="F108" s="98">
        <f>NORMSDIST(D108)</f>
        <v>6.4952024311374035E-2</v>
      </c>
      <c r="G108" s="98">
        <f>NORMSDIST(E108)</f>
        <v>0.26644201389340172</v>
      </c>
      <c r="H108" s="101">
        <f>G108-F108</f>
        <v>0.20148998958202768</v>
      </c>
    </row>
    <row r="110" spans="1:8">
      <c r="A110" s="94" t="s">
        <v>117</v>
      </c>
      <c r="B110" s="90" t="s">
        <v>151</v>
      </c>
    </row>
    <row r="111" spans="1:8">
      <c r="B111" s="12">
        <f>B105</f>
        <v>8.4</v>
      </c>
      <c r="C111" s="12" t="s">
        <v>128</v>
      </c>
    </row>
    <row r="112" spans="1:8" ht="14" thickBot="1">
      <c r="B112" s="12">
        <f>B106</f>
        <v>2.2449944320643649</v>
      </c>
      <c r="C112" s="12" t="s">
        <v>136</v>
      </c>
    </row>
    <row r="113" spans="1:8" ht="15">
      <c r="B113" s="69" t="s">
        <v>109</v>
      </c>
      <c r="C113" s="69" t="s">
        <v>110</v>
      </c>
      <c r="D113" s="69" t="s">
        <v>111</v>
      </c>
      <c r="E113" s="69" t="s">
        <v>112</v>
      </c>
      <c r="F113" s="69" t="s">
        <v>113</v>
      </c>
      <c r="G113" s="69" t="s">
        <v>114</v>
      </c>
      <c r="H113" s="95" t="s">
        <v>115</v>
      </c>
    </row>
    <row r="114" spans="1:8" ht="14" thickBot="1">
      <c r="B114" s="105">
        <f>5-0.5</f>
        <v>4.5</v>
      </c>
      <c r="C114" s="105">
        <f>7+0.5</f>
        <v>7.5</v>
      </c>
      <c r="D114" s="98">
        <f>(B114-$B$105)/$B$106</f>
        <v>-1.7371980724307585</v>
      </c>
      <c r="E114" s="98">
        <f>(C114-$B$105)/$B$106</f>
        <v>-0.40089186286863671</v>
      </c>
      <c r="F114" s="98">
        <f>NORMSDIST(D114)</f>
        <v>4.117610752640332E-2</v>
      </c>
      <c r="G114" s="98">
        <f>NORMSDIST(E114)</f>
        <v>0.34424987054831707</v>
      </c>
      <c r="H114" s="101">
        <f>G114-F114</f>
        <v>0.30307376302191374</v>
      </c>
    </row>
    <row r="116" spans="1:8" ht="14" thickBot="1">
      <c r="A116" s="94" t="s">
        <v>119</v>
      </c>
      <c r="B116" s="90" t="s">
        <v>152</v>
      </c>
      <c r="C116" s="28">
        <v>50</v>
      </c>
      <c r="D116" s="12" t="s">
        <v>145</v>
      </c>
    </row>
    <row r="117" spans="1:8" ht="14" thickBot="1">
      <c r="B117" s="107" t="s">
        <v>153</v>
      </c>
      <c r="C117" s="24">
        <f>BINOMDIST(15,C116,B91,FALSE)</f>
        <v>4.1546672477004012E-2</v>
      </c>
    </row>
    <row r="119" spans="1:8">
      <c r="B119" s="90" t="s">
        <v>151</v>
      </c>
    </row>
    <row r="120" spans="1:8">
      <c r="B120" s="28">
        <v>50</v>
      </c>
      <c r="C120" s="12" t="s">
        <v>145</v>
      </c>
    </row>
    <row r="121" spans="1:8">
      <c r="B121" s="12">
        <f>B91</f>
        <v>0.4</v>
      </c>
      <c r="C121" s="12" t="s">
        <v>154</v>
      </c>
    </row>
    <row r="122" spans="1:8">
      <c r="B122" s="12">
        <f>B120*B121</f>
        <v>20</v>
      </c>
      <c r="C122" s="12" t="s">
        <v>128</v>
      </c>
    </row>
    <row r="123" spans="1:8" ht="14" thickBot="1">
      <c r="B123" s="12">
        <f>SQRT(B120*B121*(1-B121))</f>
        <v>3.4641016151377544</v>
      </c>
      <c r="C123" s="12" t="s">
        <v>136</v>
      </c>
    </row>
    <row r="124" spans="1:8" ht="15">
      <c r="B124" s="69" t="s">
        <v>109</v>
      </c>
      <c r="C124" s="69" t="s">
        <v>110</v>
      </c>
      <c r="D124" s="69" t="s">
        <v>111</v>
      </c>
      <c r="E124" s="69" t="s">
        <v>112</v>
      </c>
      <c r="F124" s="69" t="s">
        <v>113</v>
      </c>
      <c r="G124" s="69" t="s">
        <v>114</v>
      </c>
      <c r="H124" s="95" t="s">
        <v>115</v>
      </c>
    </row>
    <row r="125" spans="1:8" ht="14" thickBot="1">
      <c r="B125" s="105">
        <v>14.5</v>
      </c>
      <c r="C125" s="105">
        <v>15.5</v>
      </c>
      <c r="D125" s="98">
        <f>(B125-$B$122)/$B$123</f>
        <v>-1.5877132402714709</v>
      </c>
      <c r="E125" s="98">
        <f>(C125-$B$122)/$B$123</f>
        <v>-1.299038105676658</v>
      </c>
      <c r="F125" s="98">
        <f>NORMSDIST(D125)</f>
        <v>5.6175598845231919E-2</v>
      </c>
      <c r="G125" s="98">
        <f>NORMSDIST(E125)</f>
        <v>9.6965426141205291E-2</v>
      </c>
      <c r="H125" s="101">
        <f>G125-F125</f>
        <v>4.0789827295973372E-2</v>
      </c>
    </row>
    <row r="126" spans="1:8">
      <c r="C126" s="91"/>
    </row>
    <row r="127" spans="1:8">
      <c r="C127" s="91"/>
    </row>
    <row r="128" spans="1:8">
      <c r="A128" s="89" t="s">
        <v>155</v>
      </c>
      <c r="B128" s="90" t="s">
        <v>134</v>
      </c>
      <c r="C128" s="91"/>
    </row>
    <row r="129" spans="1:8">
      <c r="A129" s="31"/>
      <c r="B129" s="92">
        <v>70</v>
      </c>
      <c r="C129" s="93" t="s">
        <v>128</v>
      </c>
    </row>
    <row r="130" spans="1:8" ht="15">
      <c r="A130" s="31"/>
      <c r="B130" s="92">
        <v>36</v>
      </c>
      <c r="C130" s="93" t="s">
        <v>135</v>
      </c>
    </row>
    <row r="131" spans="1:8">
      <c r="B131" s="12">
        <f>SQRT(B130)</f>
        <v>6</v>
      </c>
      <c r="C131" s="12" t="s">
        <v>136</v>
      </c>
    </row>
    <row r="132" spans="1:8" ht="14" thickBot="1"/>
    <row r="133" spans="1:8" ht="15">
      <c r="B133" s="69" t="s">
        <v>109</v>
      </c>
      <c r="C133" s="95" t="s">
        <v>110</v>
      </c>
      <c r="D133" s="69" t="s">
        <v>111</v>
      </c>
      <c r="E133" s="69" t="s">
        <v>112</v>
      </c>
      <c r="F133" s="69" t="s">
        <v>113</v>
      </c>
      <c r="G133" s="69" t="s">
        <v>114</v>
      </c>
      <c r="H133" s="69" t="s">
        <v>115</v>
      </c>
    </row>
    <row r="134" spans="1:8" ht="14" thickBot="1">
      <c r="B134" s="102" t="s">
        <v>130</v>
      </c>
      <c r="C134" s="108">
        <f>B129+(E134*B131)</f>
        <v>65.953061498823502</v>
      </c>
      <c r="D134" s="102" t="s">
        <v>130</v>
      </c>
      <c r="E134" s="98">
        <f>NORMSINV(G134)</f>
        <v>-0.67448975019608193</v>
      </c>
      <c r="F134" s="98">
        <v>0</v>
      </c>
      <c r="G134" s="70">
        <f>H134-F134</f>
        <v>0.25</v>
      </c>
      <c r="H134" s="70">
        <v>0.25</v>
      </c>
    </row>
    <row r="137" spans="1:8">
      <c r="A137" s="89" t="s">
        <v>156</v>
      </c>
      <c r="B137" s="90" t="s">
        <v>127</v>
      </c>
      <c r="C137" s="91"/>
    </row>
    <row r="138" spans="1:8">
      <c r="A138" s="31"/>
      <c r="B138" s="104">
        <v>13</v>
      </c>
      <c r="C138" s="12" t="s">
        <v>128</v>
      </c>
    </row>
    <row r="139" spans="1:8">
      <c r="B139" s="104">
        <v>1.5</v>
      </c>
      <c r="C139" s="12" t="s">
        <v>136</v>
      </c>
    </row>
    <row r="140" spans="1:8">
      <c r="B140" s="109">
        <v>11.26</v>
      </c>
      <c r="C140" s="12" t="s">
        <v>157</v>
      </c>
    </row>
    <row r="141" spans="1:8">
      <c r="B141" s="109">
        <v>11.15</v>
      </c>
      <c r="C141" s="12" t="s">
        <v>157</v>
      </c>
    </row>
    <row r="142" spans="1:8">
      <c r="B142" s="109">
        <v>10.72</v>
      </c>
      <c r="C142" s="12" t="s">
        <v>157</v>
      </c>
    </row>
    <row r="143" spans="1:8">
      <c r="B143" s="109">
        <v>10.72</v>
      </c>
      <c r="C143" s="12" t="s">
        <v>157</v>
      </c>
    </row>
    <row r="144" spans="1:8">
      <c r="B144" s="109">
        <v>10.72</v>
      </c>
      <c r="C144" s="12" t="s">
        <v>157</v>
      </c>
    </row>
    <row r="146" spans="1:9" ht="14" thickBot="1">
      <c r="A146" s="94" t="s">
        <v>158</v>
      </c>
      <c r="B146" s="12" t="s">
        <v>159</v>
      </c>
    </row>
    <row r="147" spans="1:9" ht="15">
      <c r="C147" s="69" t="s">
        <v>112</v>
      </c>
      <c r="D147" s="69" t="s">
        <v>113</v>
      </c>
      <c r="E147" s="69" t="s">
        <v>114</v>
      </c>
      <c r="F147" s="110" t="s">
        <v>160</v>
      </c>
      <c r="G147" s="111"/>
      <c r="H147" s="111"/>
      <c r="I147" s="9"/>
    </row>
    <row r="148" spans="1:9">
      <c r="B148" s="112" t="s">
        <v>161</v>
      </c>
      <c r="C148" s="70">
        <f>(B140-$B$138)/$B$139</f>
        <v>-1.1600000000000001</v>
      </c>
      <c r="D148" s="70">
        <v>0</v>
      </c>
      <c r="E148" s="70">
        <f>NORMSDIST(C148)</f>
        <v>0.12302440305134332</v>
      </c>
      <c r="F148" s="113">
        <f>E148-D148</f>
        <v>0.12302440305134332</v>
      </c>
      <c r="G148" s="6"/>
      <c r="H148" s="6"/>
      <c r="I148" s="10"/>
    </row>
    <row r="149" spans="1:9">
      <c r="B149" s="112" t="s">
        <v>162</v>
      </c>
      <c r="C149" s="70">
        <f>(B141-$B$138)/$B$139</f>
        <v>-1.2333333333333332</v>
      </c>
      <c r="D149" s="70">
        <v>0</v>
      </c>
      <c r="E149" s="70">
        <f t="shared" ref="E149:E152" si="30">NORMSDIST(C149)</f>
        <v>0.10872571321259118</v>
      </c>
      <c r="F149" s="113">
        <f t="shared" ref="F149:F152" si="31">E149-D149</f>
        <v>0.10872571321259118</v>
      </c>
      <c r="G149" s="6"/>
      <c r="H149" s="6"/>
      <c r="I149" s="10"/>
    </row>
    <row r="150" spans="1:9">
      <c r="B150" s="112" t="s">
        <v>163</v>
      </c>
      <c r="C150" s="70">
        <f>(B142-$B$138)/$B$139</f>
        <v>-1.5199999999999996</v>
      </c>
      <c r="D150" s="70">
        <v>0</v>
      </c>
      <c r="E150" s="70">
        <f t="shared" si="30"/>
        <v>6.4255487818935877E-2</v>
      </c>
      <c r="F150" s="113">
        <f t="shared" si="31"/>
        <v>6.4255487818935877E-2</v>
      </c>
      <c r="G150" s="6"/>
      <c r="H150" s="6"/>
      <c r="I150" s="10"/>
    </row>
    <row r="151" spans="1:9">
      <c r="B151" s="112" t="s">
        <v>164</v>
      </c>
      <c r="C151" s="70">
        <f>(B143-$B$138)/$B$139</f>
        <v>-1.5199999999999996</v>
      </c>
      <c r="D151" s="70">
        <v>0</v>
      </c>
      <c r="E151" s="70">
        <f t="shared" si="30"/>
        <v>6.4255487818935877E-2</v>
      </c>
      <c r="F151" s="113">
        <f t="shared" si="31"/>
        <v>6.4255487818935877E-2</v>
      </c>
      <c r="G151" s="6"/>
      <c r="H151" s="6"/>
      <c r="I151" s="10"/>
    </row>
    <row r="152" spans="1:9" ht="14" thickBot="1">
      <c r="B152" s="112" t="s">
        <v>165</v>
      </c>
      <c r="C152" s="70">
        <f>(B144-$B$138)/$B$139</f>
        <v>-1.5199999999999996</v>
      </c>
      <c r="D152" s="70">
        <v>0</v>
      </c>
      <c r="E152" s="70">
        <f t="shared" si="30"/>
        <v>6.4255487818935877E-2</v>
      </c>
      <c r="F152" s="114">
        <f t="shared" si="31"/>
        <v>6.4255487818935877E-2</v>
      </c>
      <c r="G152" s="13"/>
      <c r="H152" s="13"/>
      <c r="I152" s="11"/>
    </row>
    <row r="154" spans="1:9">
      <c r="A154" s="94" t="s">
        <v>166</v>
      </c>
      <c r="C154" s="90" t="s">
        <v>167</v>
      </c>
    </row>
    <row r="155" spans="1:9">
      <c r="B155" s="112" t="s">
        <v>168</v>
      </c>
      <c r="C155" s="115">
        <f>1-F148</f>
        <v>0.87697559694865668</v>
      </c>
    </row>
    <row r="156" spans="1:9">
      <c r="B156" s="112" t="s">
        <v>169</v>
      </c>
      <c r="C156" s="115">
        <f t="shared" ref="C156:C159" si="32">1-F149</f>
        <v>0.89127428678740883</v>
      </c>
    </row>
    <row r="157" spans="1:9">
      <c r="B157" s="112" t="s">
        <v>170</v>
      </c>
      <c r="C157" s="115">
        <f t="shared" si="32"/>
        <v>0.93574451218106414</v>
      </c>
    </row>
    <row r="158" spans="1:9">
      <c r="B158" s="112" t="s">
        <v>171</v>
      </c>
      <c r="C158" s="115">
        <f t="shared" si="32"/>
        <v>0.93574451218106414</v>
      </c>
    </row>
    <row r="159" spans="1:9">
      <c r="B159" s="112" t="s">
        <v>172</v>
      </c>
      <c r="C159" s="115">
        <f t="shared" si="32"/>
        <v>0.93574451218106414</v>
      </c>
    </row>
    <row r="161" spans="1:8" ht="14" thickBot="1">
      <c r="B161" s="12">
        <f>PRODUCT(C155:C159)</f>
        <v>0.64042865046087882</v>
      </c>
      <c r="C161" s="12" t="s">
        <v>173</v>
      </c>
    </row>
    <row r="162" spans="1:8" ht="14" thickBot="1">
      <c r="B162" s="29">
        <f>1-B161</f>
        <v>0.35957134953912118</v>
      </c>
      <c r="C162" s="116" t="s">
        <v>174</v>
      </c>
      <c r="D162" s="116"/>
      <c r="E162" s="117"/>
    </row>
    <row r="163" spans="1:8" ht="14" thickBot="1"/>
    <row r="164" spans="1:8" ht="14" thickBot="1">
      <c r="A164" s="94" t="s">
        <v>175</v>
      </c>
      <c r="B164" s="118">
        <f>PRODUCT(F148:F152)</f>
        <v>3.5485767824193889E-6</v>
      </c>
      <c r="C164" s="116" t="s">
        <v>176</v>
      </c>
      <c r="D164" s="116"/>
      <c r="E164" s="117"/>
    </row>
    <row r="167" spans="1:8">
      <c r="A167" s="89" t="s">
        <v>177</v>
      </c>
      <c r="B167" s="90" t="s">
        <v>127</v>
      </c>
    </row>
    <row r="168" spans="1:8">
      <c r="B168" s="93">
        <v>0.8</v>
      </c>
      <c r="C168" s="12" t="s">
        <v>178</v>
      </c>
    </row>
    <row r="170" spans="1:8">
      <c r="B170" s="28">
        <v>10</v>
      </c>
      <c r="C170" s="12" t="s">
        <v>145</v>
      </c>
    </row>
    <row r="171" spans="1:8">
      <c r="B171" s="12">
        <f>B170*$B$168</f>
        <v>8</v>
      </c>
      <c r="C171" s="12" t="s">
        <v>128</v>
      </c>
    </row>
    <row r="172" spans="1:8" ht="14" thickBot="1">
      <c r="B172" s="12">
        <f>SQRT(B170*$B$168*(1-$B$168))</f>
        <v>1.2649110640673515</v>
      </c>
      <c r="C172" s="12" t="s">
        <v>136</v>
      </c>
    </row>
    <row r="173" spans="1:8" ht="15">
      <c r="B173" s="69" t="s">
        <v>109</v>
      </c>
      <c r="C173" s="69" t="s">
        <v>110</v>
      </c>
      <c r="D173" s="69" t="s">
        <v>111</v>
      </c>
      <c r="E173" s="69" t="s">
        <v>112</v>
      </c>
      <c r="F173" s="69" t="s">
        <v>113</v>
      </c>
      <c r="G173" s="69" t="s">
        <v>114</v>
      </c>
      <c r="H173" s="95" t="s">
        <v>115</v>
      </c>
    </row>
    <row r="174" spans="1:8" ht="14" thickBot="1">
      <c r="A174" s="94" t="s">
        <v>26</v>
      </c>
      <c r="B174" s="105">
        <f>B171-0.5</f>
        <v>7.5</v>
      </c>
      <c r="C174" s="105">
        <f>B171+0.5</f>
        <v>8.5</v>
      </c>
      <c r="D174" s="98">
        <f>(B174-$B$171)/$B$172</f>
        <v>-0.3952847075210475</v>
      </c>
      <c r="E174" s="98">
        <f>(C174-$B$171)/$B$172</f>
        <v>0.3952847075210475</v>
      </c>
      <c r="F174" s="98">
        <f>NORMSDIST(D174)</f>
        <v>0.34631639202098008</v>
      </c>
      <c r="G174" s="98">
        <f>NORMSDIST(E174)</f>
        <v>0.65368360797901992</v>
      </c>
      <c r="H174" s="101">
        <f>G174-F174</f>
        <v>0.30736721595803984</v>
      </c>
    </row>
    <row r="175" spans="1:8" ht="14" thickBot="1">
      <c r="A175" s="94" t="s">
        <v>149</v>
      </c>
      <c r="B175" s="105">
        <v>6.5</v>
      </c>
      <c r="C175" s="105">
        <v>8.5</v>
      </c>
      <c r="D175" s="98">
        <f>(B175-$B$171)/$B$172</f>
        <v>-1.1858541225631425</v>
      </c>
      <c r="E175" s="98">
        <f>(C175-$B$171)/$B$172</f>
        <v>0.3952847075210475</v>
      </c>
      <c r="F175" s="98">
        <f>NORMSDIST(D175)</f>
        <v>0.11783995671451872</v>
      </c>
      <c r="G175" s="98">
        <f>NORMSDIST(E175)</f>
        <v>0.65368360797901992</v>
      </c>
      <c r="H175" s="101">
        <f>G175-F175</f>
        <v>0.53584365126450118</v>
      </c>
    </row>
    <row r="177" spans="1:8">
      <c r="B177" s="92">
        <v>100</v>
      </c>
      <c r="C177" s="12" t="s">
        <v>145</v>
      </c>
    </row>
    <row r="178" spans="1:8">
      <c r="B178" s="12">
        <f>B177*$B$168</f>
        <v>80</v>
      </c>
      <c r="C178" s="12" t="s">
        <v>128</v>
      </c>
    </row>
    <row r="179" spans="1:8" ht="14" thickBot="1">
      <c r="B179" s="12">
        <f>SQRT(B177*$B$168*(1-$B$168))</f>
        <v>3.9999999999999996</v>
      </c>
      <c r="C179" s="12" t="s">
        <v>136</v>
      </c>
    </row>
    <row r="180" spans="1:8" ht="15">
      <c r="B180" s="69" t="s">
        <v>109</v>
      </c>
      <c r="C180" s="69" t="s">
        <v>110</v>
      </c>
      <c r="D180" s="69" t="s">
        <v>111</v>
      </c>
      <c r="E180" s="69" t="s">
        <v>112</v>
      </c>
      <c r="F180" s="69" t="s">
        <v>113</v>
      </c>
      <c r="G180" s="69" t="s">
        <v>114</v>
      </c>
      <c r="H180" s="95" t="s">
        <v>115</v>
      </c>
    </row>
    <row r="181" spans="1:8" ht="14" thickBot="1">
      <c r="A181" s="94" t="s">
        <v>26</v>
      </c>
      <c r="B181" s="105">
        <f>B178-0.5</f>
        <v>79.5</v>
      </c>
      <c r="C181" s="105">
        <f>B178+0.5</f>
        <v>80.5</v>
      </c>
      <c r="D181" s="98">
        <f>(B181-$B$178)/$B$179</f>
        <v>-0.12500000000000003</v>
      </c>
      <c r="E181" s="98">
        <f>(C181-$B$178)/$B$179</f>
        <v>0.12500000000000003</v>
      </c>
      <c r="F181" s="98">
        <f>NORMSDIST(D181)</f>
        <v>0.45026177516988708</v>
      </c>
      <c r="G181" s="98">
        <f>NORMSDIST(E181)</f>
        <v>0.54973822483011292</v>
      </c>
      <c r="H181" s="101">
        <f>G181-F181</f>
        <v>9.9476449660225841E-2</v>
      </c>
    </row>
    <row r="182" spans="1:8" ht="14" thickBot="1">
      <c r="A182" s="94" t="s">
        <v>149</v>
      </c>
      <c r="B182" s="105">
        <v>69.5</v>
      </c>
      <c r="C182" s="105">
        <v>90.5</v>
      </c>
      <c r="D182" s="98">
        <f>(B182-$B$178)/$B$179</f>
        <v>-2.6250000000000004</v>
      </c>
      <c r="E182" s="98">
        <f>(C182-$B$178)/$B$179</f>
        <v>2.6250000000000004</v>
      </c>
      <c r="F182" s="98">
        <f>NORMSDIST(D182)</f>
        <v>4.3324483630125497E-3</v>
      </c>
      <c r="G182" s="98">
        <f>NORMSDIST(E182)</f>
        <v>0.9956675516369875</v>
      </c>
      <c r="H182" s="101">
        <f>G182-F182</f>
        <v>0.991335103273975</v>
      </c>
    </row>
    <row r="193" spans="1:3">
      <c r="A193" s="12"/>
    </row>
    <row r="194" spans="1:3">
      <c r="A194" s="12"/>
      <c r="C194" s="91"/>
    </row>
    <row r="195" spans="1:3">
      <c r="A195" s="12"/>
    </row>
    <row r="196" spans="1:3">
      <c r="A196" s="12"/>
    </row>
    <row r="197" spans="1:3">
      <c r="A197" s="12"/>
    </row>
    <row r="198" spans="1:3">
      <c r="A198" s="12"/>
    </row>
    <row r="199" spans="1:3">
      <c r="A199" s="12"/>
    </row>
    <row r="200" spans="1:3">
      <c r="A200" s="12"/>
    </row>
    <row r="201" spans="1:3">
      <c r="A201" s="12"/>
      <c r="C201" s="91"/>
    </row>
    <row r="202" spans="1:3">
      <c r="A202" s="12"/>
    </row>
    <row r="203" spans="1:3">
      <c r="A203" s="12"/>
    </row>
    <row r="204" spans="1:3">
      <c r="A204" s="12"/>
    </row>
    <row r="205" spans="1:3">
      <c r="A205" s="12"/>
    </row>
    <row r="206" spans="1:3">
      <c r="A206" s="12"/>
    </row>
    <row r="207" spans="1:3">
      <c r="A207" s="12"/>
    </row>
    <row r="208" spans="1:3">
      <c r="A208" s="12"/>
    </row>
    <row r="209" spans="1:1" ht="14" customHeight="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3">
      <c r="A225" s="12"/>
    </row>
    <row r="226" spans="1:3">
      <c r="A226" s="12"/>
      <c r="C226" s="91"/>
    </row>
    <row r="227" spans="1:3">
      <c r="A227" s="12"/>
      <c r="C227" s="91"/>
    </row>
    <row r="228" spans="1:3">
      <c r="A228" s="12"/>
      <c r="C228" s="91"/>
    </row>
    <row r="229" spans="1:3">
      <c r="A229" s="12"/>
    </row>
    <row r="230" spans="1:3">
      <c r="A230" s="12"/>
    </row>
    <row r="231" spans="1:3">
      <c r="A231" s="12"/>
    </row>
    <row r="232" spans="1:3">
      <c r="A232" s="12"/>
    </row>
    <row r="233" spans="1:3">
      <c r="A233" s="12"/>
    </row>
    <row r="234" spans="1:3">
      <c r="A234" s="12"/>
    </row>
    <row r="235" spans="1:3">
      <c r="A235" s="12"/>
    </row>
    <row r="236" spans="1:3">
      <c r="A236" s="12"/>
    </row>
    <row r="237" spans="1:3">
      <c r="A237" s="12"/>
    </row>
    <row r="238" spans="1:3">
      <c r="A238" s="12"/>
    </row>
    <row r="239" spans="1:3">
      <c r="A239" s="12"/>
    </row>
    <row r="240" spans="1:3">
      <c r="A240" s="12"/>
    </row>
    <row r="241" spans="1:3">
      <c r="A241" s="12"/>
    </row>
    <row r="242" spans="1:3">
      <c r="A242" s="12"/>
    </row>
    <row r="243" spans="1:3">
      <c r="A243" s="12"/>
    </row>
    <row r="244" spans="1:3">
      <c r="A244" s="12"/>
    </row>
    <row r="245" spans="1:3">
      <c r="A245" s="12"/>
    </row>
    <row r="246" spans="1:3">
      <c r="A246" s="12"/>
    </row>
    <row r="247" spans="1:3">
      <c r="A247" s="12"/>
    </row>
    <row r="248" spans="1:3">
      <c r="A248" s="12"/>
    </row>
    <row r="249" spans="1:3">
      <c r="A249" s="12"/>
    </row>
    <row r="250" spans="1:3">
      <c r="A250" s="12"/>
    </row>
    <row r="251" spans="1:3">
      <c r="A251" s="12"/>
    </row>
    <row r="252" spans="1:3">
      <c r="A252" s="12"/>
    </row>
    <row r="253" spans="1:3">
      <c r="A253" s="12"/>
    </row>
    <row r="256" spans="1:3">
      <c r="A256" s="12"/>
      <c r="C256" s="91"/>
    </row>
    <row r="257" spans="3:3" s="12" customFormat="1">
      <c r="C257" s="91"/>
    </row>
    <row r="258" spans="3:3" s="12" customFormat="1">
      <c r="C258" s="91"/>
    </row>
    <row r="259" spans="3:3" s="12" customFormat="1">
      <c r="C259" s="91"/>
    </row>
    <row r="261" spans="3:3" s="12" customFormat="1">
      <c r="C261" s="91"/>
    </row>
    <row r="262" spans="3:3" s="12" customFormat="1">
      <c r="C262" s="91"/>
    </row>
    <row r="265" spans="3:3" s="12" customFormat="1">
      <c r="C265" s="91"/>
    </row>
    <row r="266" spans="3:3" s="12" customFormat="1">
      <c r="C266" s="91"/>
    </row>
    <row r="269" spans="3:3" s="12" customFormat="1">
      <c r="C269" s="91"/>
    </row>
    <row r="270" spans="3:3" s="12" customFormat="1">
      <c r="C270" s="91"/>
    </row>
    <row r="274" spans="3:3" s="12" customFormat="1">
      <c r="C274" s="91"/>
    </row>
    <row r="275" spans="3:3" s="12" customFormat="1">
      <c r="C275" s="91"/>
    </row>
    <row r="297" spans="2:2" s="12" customFormat="1">
      <c r="B297" s="91"/>
    </row>
    <row r="298" spans="2:2" s="12" customFormat="1">
      <c r="B298" s="91"/>
    </row>
    <row r="299" spans="2:2" s="12" customFormat="1">
      <c r="B299" s="91"/>
    </row>
    <row r="300" spans="2:2" s="12" customFormat="1">
      <c r="B300" s="91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1092200</xdr:colOff>
                <xdr:row>8</xdr:row>
                <xdr:rowOff>25400</xdr:rowOff>
              </to>
            </anchor>
          </objectPr>
        </oleObject>
      </mc:Choice>
      <mc:Fallback>
        <oleObject progId="Equation.3" shapeId="3073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topLeftCell="A366" zoomScale="125" zoomScaleNormal="125" zoomScalePageLayoutView="125" workbookViewId="0">
      <selection activeCell="G314" sqref="G314"/>
    </sheetView>
  </sheetViews>
  <sheetFormatPr baseColWidth="10" defaultRowHeight="13" x14ac:dyDescent="0"/>
  <cols>
    <col min="1" max="1" width="10.140625" style="121" customWidth="1"/>
    <col min="2" max="2" width="13.28515625" style="132" customWidth="1"/>
    <col min="3" max="3" width="10" style="132" customWidth="1"/>
    <col min="4" max="4" width="14.7109375" style="132" customWidth="1"/>
    <col min="5" max="5" width="8.28515625" style="132" customWidth="1"/>
    <col min="6" max="6" width="10.85546875" style="132" customWidth="1"/>
    <col min="7" max="7" width="8" style="132" customWidth="1"/>
    <col min="8" max="8" width="10.28515625" style="132" customWidth="1"/>
    <col min="9" max="9" width="7.85546875" style="132" customWidth="1"/>
    <col min="10" max="10" width="7.28515625" style="132" customWidth="1"/>
    <col min="11" max="11" width="11" style="132" customWidth="1"/>
    <col min="12" max="12" width="13.28515625" style="132" customWidth="1"/>
    <col min="13" max="16" width="10.140625" style="132" customWidth="1"/>
    <col min="17" max="17" width="7.7109375" style="132" customWidth="1"/>
    <col min="18" max="16384" width="10.7109375" style="132"/>
  </cols>
  <sheetData>
    <row r="1" spans="1:11">
      <c r="A1" s="119" t="s">
        <v>179</v>
      </c>
      <c r="B1" s="120"/>
      <c r="C1" s="136"/>
    </row>
    <row r="2" spans="1:11">
      <c r="B2" s="122" t="s">
        <v>180</v>
      </c>
      <c r="C2" s="137">
        <v>150</v>
      </c>
    </row>
    <row r="3" spans="1:11">
      <c r="B3" s="122" t="s">
        <v>181</v>
      </c>
      <c r="C3" s="137">
        <v>83</v>
      </c>
    </row>
    <row r="4" spans="1:11">
      <c r="B4" s="122" t="s">
        <v>182</v>
      </c>
      <c r="C4" s="138">
        <f>SQRT(C3)</f>
        <v>9.1104335791442992</v>
      </c>
    </row>
    <row r="6" spans="1:11" ht="16" thickBot="1">
      <c r="B6" s="139" t="s">
        <v>183</v>
      </c>
      <c r="C6" s="123" t="s">
        <v>184</v>
      </c>
      <c r="D6" s="123" t="s">
        <v>185</v>
      </c>
      <c r="E6" s="139" t="s">
        <v>109</v>
      </c>
      <c r="F6" s="139" t="s">
        <v>110</v>
      </c>
      <c r="G6" s="140" t="s">
        <v>111</v>
      </c>
      <c r="H6" s="139" t="s">
        <v>112</v>
      </c>
      <c r="I6" s="140" t="s">
        <v>273</v>
      </c>
      <c r="J6" s="140" t="s">
        <v>274</v>
      </c>
      <c r="K6" s="141" t="s">
        <v>275</v>
      </c>
    </row>
    <row r="7" spans="1:11">
      <c r="A7" s="121" t="s">
        <v>186</v>
      </c>
      <c r="B7" s="142">
        <v>1</v>
      </c>
      <c r="C7" s="143">
        <f t="shared" ref="C7:C12" si="0">$C$3/B7</f>
        <v>83</v>
      </c>
      <c r="D7" s="144">
        <f t="shared" ref="D7:D12" si="1">SQRT(C7)</f>
        <v>9.1104335791442992</v>
      </c>
      <c r="E7" s="142">
        <v>155</v>
      </c>
      <c r="F7" s="142" t="s">
        <v>187</v>
      </c>
      <c r="G7" s="145">
        <f t="shared" ref="G7:H12" si="2">(E7-$C$2)/$D7</f>
        <v>0.54882129994845175</v>
      </c>
      <c r="H7" s="142" t="s">
        <v>187</v>
      </c>
      <c r="I7" s="145">
        <f t="shared" ref="I7:I9" si="3">NORMSDIST(G7)</f>
        <v>0.70843595430993134</v>
      </c>
      <c r="J7" s="145">
        <v>1</v>
      </c>
      <c r="K7" s="146">
        <f t="shared" ref="K7:K12" si="4">J7-I7</f>
        <v>0.29156404569006866</v>
      </c>
    </row>
    <row r="8" spans="1:11">
      <c r="A8" s="121" t="s">
        <v>188</v>
      </c>
      <c r="B8" s="142">
        <v>5</v>
      </c>
      <c r="C8" s="143">
        <f t="shared" si="0"/>
        <v>16.600000000000001</v>
      </c>
      <c r="D8" s="144">
        <f t="shared" si="1"/>
        <v>4.0743097574926725</v>
      </c>
      <c r="E8" s="142">
        <v>155</v>
      </c>
      <c r="F8" s="142" t="s">
        <v>187</v>
      </c>
      <c r="G8" s="145">
        <f t="shared" si="2"/>
        <v>1.2272017341845398</v>
      </c>
      <c r="H8" s="142" t="s">
        <v>187</v>
      </c>
      <c r="I8" s="145">
        <f t="shared" si="3"/>
        <v>0.89012661109800395</v>
      </c>
      <c r="J8" s="145">
        <v>1</v>
      </c>
      <c r="K8" s="147">
        <f t="shared" si="4"/>
        <v>0.10987338890199605</v>
      </c>
    </row>
    <row r="9" spans="1:11">
      <c r="A9" s="121" t="s">
        <v>189</v>
      </c>
      <c r="B9" s="142">
        <v>10</v>
      </c>
      <c r="C9" s="143">
        <f t="shared" si="0"/>
        <v>8.3000000000000007</v>
      </c>
      <c r="D9" s="144">
        <f t="shared" si="1"/>
        <v>2.8809720581775866</v>
      </c>
      <c r="E9" s="142">
        <v>155</v>
      </c>
      <c r="F9" s="142" t="s">
        <v>190</v>
      </c>
      <c r="G9" s="145">
        <f t="shared" si="2"/>
        <v>1.7355253362515584</v>
      </c>
      <c r="H9" s="142" t="s">
        <v>190</v>
      </c>
      <c r="I9" s="145">
        <f t="shared" si="3"/>
        <v>0.95867610108944257</v>
      </c>
      <c r="J9" s="145">
        <v>1</v>
      </c>
      <c r="K9" s="147">
        <f t="shared" si="4"/>
        <v>4.1323898910557433E-2</v>
      </c>
    </row>
    <row r="10" spans="1:11">
      <c r="A10" s="121" t="s">
        <v>191</v>
      </c>
      <c r="B10" s="142">
        <v>1000000000</v>
      </c>
      <c r="C10" s="148">
        <f t="shared" si="0"/>
        <v>8.3000000000000002E-8</v>
      </c>
      <c r="D10" s="144">
        <f t="shared" si="1"/>
        <v>2.8809720581775869E-4</v>
      </c>
      <c r="E10" s="149" t="s">
        <v>192</v>
      </c>
      <c r="F10" s="145">
        <v>150</v>
      </c>
      <c r="G10" s="149" t="s">
        <v>192</v>
      </c>
      <c r="H10" s="145">
        <f t="shared" si="2"/>
        <v>0</v>
      </c>
      <c r="I10" s="145">
        <v>0</v>
      </c>
      <c r="J10" s="145">
        <f t="shared" ref="J10:J12" si="5">NORMSDIST(H10)</f>
        <v>0.5</v>
      </c>
      <c r="K10" s="147">
        <f t="shared" si="4"/>
        <v>0.5</v>
      </c>
    </row>
    <row r="11" spans="1:11">
      <c r="A11" s="121" t="s">
        <v>193</v>
      </c>
      <c r="B11" s="142">
        <v>1000000000</v>
      </c>
      <c r="C11" s="148">
        <f t="shared" si="0"/>
        <v>8.3000000000000002E-8</v>
      </c>
      <c r="D11" s="144">
        <f t="shared" si="1"/>
        <v>2.8809720581775869E-4</v>
      </c>
      <c r="E11" s="149" t="s">
        <v>192</v>
      </c>
      <c r="F11" s="145">
        <v>149.9</v>
      </c>
      <c r="G11" s="149" t="s">
        <v>192</v>
      </c>
      <c r="H11" s="145">
        <f t="shared" si="2"/>
        <v>-347.10506725029188</v>
      </c>
      <c r="I11" s="145">
        <v>0</v>
      </c>
      <c r="J11" s="145">
        <f t="shared" si="5"/>
        <v>0</v>
      </c>
      <c r="K11" s="147">
        <f t="shared" si="4"/>
        <v>0</v>
      </c>
    </row>
    <row r="12" spans="1:11" ht="14" thickBot="1">
      <c r="A12" s="121" t="s">
        <v>194</v>
      </c>
      <c r="B12" s="142">
        <v>100</v>
      </c>
      <c r="C12" s="145">
        <f t="shared" si="0"/>
        <v>0.83</v>
      </c>
      <c r="D12" s="144">
        <f t="shared" si="1"/>
        <v>0.91104335791442992</v>
      </c>
      <c r="E12" s="142">
        <v>149</v>
      </c>
      <c r="F12" s="142">
        <v>151</v>
      </c>
      <c r="G12" s="145">
        <f t="shared" si="2"/>
        <v>-1.0976425998969035</v>
      </c>
      <c r="H12" s="145">
        <f t="shared" si="2"/>
        <v>1.0976425998969035</v>
      </c>
      <c r="I12" s="145">
        <f t="shared" ref="I12" si="6">NORMSDIST(G12)</f>
        <v>0.13618029166298842</v>
      </c>
      <c r="J12" s="145">
        <f t="shared" si="5"/>
        <v>0.8638197083370116</v>
      </c>
      <c r="K12" s="150">
        <f t="shared" si="4"/>
        <v>0.72763941667402321</v>
      </c>
    </row>
    <row r="13" spans="1:11">
      <c r="B13" s="142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>
      <c r="B14" s="142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>
      <c r="A15" s="119" t="s">
        <v>195</v>
      </c>
      <c r="B15" s="120" t="s">
        <v>196</v>
      </c>
      <c r="C15" s="136"/>
      <c r="D15" s="145"/>
      <c r="E15" s="145"/>
      <c r="F15" s="145"/>
      <c r="G15" s="145"/>
      <c r="H15" s="145"/>
      <c r="I15" s="145"/>
      <c r="J15" s="145"/>
      <c r="K15" s="145"/>
    </row>
    <row r="16" spans="1:11">
      <c r="B16" s="122" t="s">
        <v>276</v>
      </c>
      <c r="C16" s="137">
        <v>85</v>
      </c>
      <c r="D16" s="145"/>
      <c r="E16" s="145"/>
      <c r="F16" s="145"/>
      <c r="G16" s="145"/>
      <c r="H16" s="145"/>
      <c r="I16" s="145"/>
      <c r="J16" s="145"/>
      <c r="K16" s="145"/>
    </row>
    <row r="17" spans="1:11" ht="15">
      <c r="B17" s="122" t="s">
        <v>198</v>
      </c>
      <c r="C17" s="137">
        <v>200</v>
      </c>
      <c r="D17" s="145"/>
      <c r="E17" s="145"/>
      <c r="F17" s="145"/>
      <c r="G17" s="145"/>
      <c r="H17" s="145"/>
      <c r="I17" s="145"/>
      <c r="J17" s="145"/>
      <c r="K17" s="145"/>
    </row>
    <row r="18" spans="1:11">
      <c r="B18" s="122" t="s">
        <v>277</v>
      </c>
      <c r="C18" s="138">
        <f>SQRT(C17)</f>
        <v>14.142135623730951</v>
      </c>
      <c r="D18" s="145"/>
      <c r="E18" s="145"/>
      <c r="F18" s="145"/>
      <c r="G18" s="145"/>
      <c r="H18" s="145"/>
      <c r="I18" s="145"/>
      <c r="J18" s="145"/>
      <c r="K18" s="145"/>
    </row>
    <row r="19" spans="1:11"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ht="14" thickBot="1">
      <c r="A20" s="121" t="s">
        <v>186</v>
      </c>
      <c r="B20" s="151" t="s">
        <v>200</v>
      </c>
      <c r="C20" s="137">
        <v>100</v>
      </c>
    </row>
    <row r="21" spans="1:11">
      <c r="B21" s="124" t="s">
        <v>276</v>
      </c>
      <c r="C21" s="152">
        <f>C16</f>
        <v>85</v>
      </c>
    </row>
    <row r="22" spans="1:11" ht="14" thickBot="1">
      <c r="B22" s="125" t="s">
        <v>277</v>
      </c>
      <c r="C22" s="153">
        <f>C18/SQRT(C20)</f>
        <v>1.4142135623730951</v>
      </c>
    </row>
    <row r="24" spans="1:11" ht="16" thickBot="1">
      <c r="B24" s="139" t="s">
        <v>201</v>
      </c>
      <c r="C24" s="123" t="s">
        <v>184</v>
      </c>
      <c r="D24" s="123" t="s">
        <v>185</v>
      </c>
      <c r="E24" s="139" t="s">
        <v>109</v>
      </c>
      <c r="F24" s="139" t="s">
        <v>110</v>
      </c>
      <c r="G24" s="140" t="s">
        <v>111</v>
      </c>
      <c r="H24" s="139" t="s">
        <v>112</v>
      </c>
      <c r="I24" s="140" t="s">
        <v>273</v>
      </c>
      <c r="J24" s="140" t="s">
        <v>274</v>
      </c>
      <c r="K24" s="141" t="s">
        <v>275</v>
      </c>
    </row>
    <row r="25" spans="1:11">
      <c r="A25" s="121" t="s">
        <v>188</v>
      </c>
      <c r="B25" s="142">
        <v>100</v>
      </c>
      <c r="C25" s="145">
        <f>$C$17/B25</f>
        <v>2</v>
      </c>
      <c r="D25" s="145">
        <f>SQRT(C25)</f>
        <v>1.4142135623730951</v>
      </c>
      <c r="E25" s="142">
        <v>87</v>
      </c>
      <c r="F25" s="142" t="s">
        <v>190</v>
      </c>
      <c r="G25" s="145">
        <f>(E25-$C$16)/$D25</f>
        <v>1.4142135623730949</v>
      </c>
      <c r="H25" s="142" t="s">
        <v>190</v>
      </c>
      <c r="I25" s="145">
        <f t="shared" ref="I25:J27" si="7">NORMSDIST(G25)</f>
        <v>0.92135039647485739</v>
      </c>
      <c r="J25" s="145">
        <v>1</v>
      </c>
      <c r="K25" s="146">
        <f>J25-I25</f>
        <v>7.8649603525142608E-2</v>
      </c>
    </row>
    <row r="26" spans="1:11" ht="14" thickBot="1">
      <c r="A26" s="121" t="s">
        <v>189</v>
      </c>
      <c r="B26" s="142">
        <v>30</v>
      </c>
      <c r="C26" s="145">
        <f>$C$17/B26</f>
        <v>6.666666666666667</v>
      </c>
      <c r="D26" s="145">
        <f>SQRT(C26)</f>
        <v>2.5819888974716112</v>
      </c>
      <c r="E26" s="149" t="s">
        <v>192</v>
      </c>
      <c r="F26" s="142">
        <v>82</v>
      </c>
      <c r="G26" s="149" t="s">
        <v>192</v>
      </c>
      <c r="H26" s="154">
        <f>(F26-$C$16)/$D26</f>
        <v>-1.1618950038622251</v>
      </c>
      <c r="I26" s="145">
        <v>0</v>
      </c>
      <c r="J26" s="145">
        <f t="shared" si="7"/>
        <v>0.12263905840338644</v>
      </c>
      <c r="K26" s="150">
        <f>J26-I26</f>
        <v>0.12263905840338644</v>
      </c>
    </row>
    <row r="27" spans="1:11" ht="14" thickBot="1">
      <c r="A27" s="121" t="s">
        <v>191</v>
      </c>
      <c r="B27" s="142">
        <v>50</v>
      </c>
      <c r="C27" s="145">
        <f>$C$17/B27</f>
        <v>4</v>
      </c>
      <c r="D27" s="145">
        <f>SQRT(C27)</f>
        <v>2</v>
      </c>
      <c r="E27" s="155">
        <f>$C$16+(G27*$D$27)</f>
        <v>83.651020499607839</v>
      </c>
      <c r="F27" s="156">
        <f>$C$16+(H27*$D$27)</f>
        <v>86.348979500392161</v>
      </c>
      <c r="G27" s="154">
        <f>NORMSINV(0.25)</f>
        <v>-0.67448975019608193</v>
      </c>
      <c r="H27" s="154">
        <f>NORMSINV(0.75)</f>
        <v>0.67448975019608193</v>
      </c>
      <c r="I27" s="145">
        <f t="shared" si="7"/>
        <v>0.24999999999999989</v>
      </c>
      <c r="J27" s="145">
        <f t="shared" si="7"/>
        <v>0.75000000000000011</v>
      </c>
      <c r="K27" s="157">
        <f t="shared" ref="K27" si="8">J27-I27</f>
        <v>0.50000000000000022</v>
      </c>
    </row>
    <row r="28" spans="1:11">
      <c r="C28" s="136"/>
    </row>
    <row r="30" spans="1:11">
      <c r="A30" s="119" t="s">
        <v>202</v>
      </c>
      <c r="B30" s="120" t="s">
        <v>278</v>
      </c>
      <c r="C30" s="136"/>
    </row>
    <row r="31" spans="1:11">
      <c r="B31" s="122" t="s">
        <v>276</v>
      </c>
      <c r="C31" s="137">
        <v>240</v>
      </c>
    </row>
    <row r="32" spans="1:11" ht="15">
      <c r="B32" s="122" t="s">
        <v>198</v>
      </c>
      <c r="C32" s="137">
        <v>410</v>
      </c>
    </row>
    <row r="33" spans="2:3">
      <c r="B33" s="122" t="s">
        <v>277</v>
      </c>
      <c r="C33" s="137">
        <v>20</v>
      </c>
    </row>
    <row r="34" spans="2:3">
      <c r="B34" s="158"/>
    </row>
    <row r="35" spans="2:3">
      <c r="B35" s="126" t="s">
        <v>203</v>
      </c>
    </row>
    <row r="36" spans="2:3">
      <c r="B36" s="127" t="s">
        <v>204</v>
      </c>
      <c r="C36" s="120" t="s">
        <v>205</v>
      </c>
    </row>
    <row r="37" spans="2:3">
      <c r="B37" s="142">
        <v>1</v>
      </c>
      <c r="C37" s="159">
        <v>245</v>
      </c>
    </row>
    <row r="38" spans="2:3">
      <c r="B38" s="160">
        <v>2</v>
      </c>
      <c r="C38" s="159">
        <v>249</v>
      </c>
    </row>
    <row r="39" spans="2:3" ht="15">
      <c r="B39" s="161" t="s">
        <v>279</v>
      </c>
      <c r="C39" s="137">
        <f>AVERAGE(C37:C38)</f>
        <v>247</v>
      </c>
    </row>
    <row r="40" spans="2:3">
      <c r="B40" s="161"/>
      <c r="C40" s="137"/>
    </row>
    <row r="41" spans="2:3">
      <c r="B41" s="126" t="s">
        <v>206</v>
      </c>
    </row>
    <row r="42" spans="2:3">
      <c r="B42" s="162" t="s">
        <v>207</v>
      </c>
      <c r="C42" s="137">
        <f>COUNT(B37:B38)</f>
        <v>2</v>
      </c>
    </row>
    <row r="43" spans="2:3">
      <c r="B43" s="126"/>
    </row>
    <row r="44" spans="2:3" ht="15">
      <c r="B44" s="161" t="s">
        <v>280</v>
      </c>
      <c r="C44" s="129" t="s">
        <v>281</v>
      </c>
    </row>
    <row r="45" spans="2:3" ht="15">
      <c r="B45" s="161" t="s">
        <v>282</v>
      </c>
      <c r="C45" s="129" t="s">
        <v>283</v>
      </c>
    </row>
    <row r="47" spans="2:3" ht="15">
      <c r="B47" s="163" t="s">
        <v>284</v>
      </c>
      <c r="C47" s="163"/>
    </row>
    <row r="49" spans="1:9" ht="15">
      <c r="A49" s="130"/>
      <c r="B49" s="132" t="s">
        <v>285</v>
      </c>
    </row>
    <row r="50" spans="1:9">
      <c r="B50" s="122" t="s">
        <v>276</v>
      </c>
      <c r="C50" s="164">
        <v>250</v>
      </c>
    </row>
    <row r="51" spans="1:9" ht="15">
      <c r="B51" s="131" t="s">
        <v>286</v>
      </c>
      <c r="C51" s="138">
        <f>C33/SQRT(C42)</f>
        <v>14.142135623730949</v>
      </c>
    </row>
    <row r="52" spans="1:9">
      <c r="B52" s="131"/>
      <c r="C52" s="138"/>
    </row>
    <row r="53" spans="1:9">
      <c r="B53" s="131" t="s">
        <v>287</v>
      </c>
      <c r="C53" s="165">
        <v>0.05</v>
      </c>
    </row>
    <row r="54" spans="1:9">
      <c r="B54" s="166" t="s">
        <v>212</v>
      </c>
      <c r="C54" s="165">
        <f>-NORMSINV(C53)</f>
        <v>1.6448536269514726</v>
      </c>
      <c r="D54" s="132" t="s">
        <v>213</v>
      </c>
    </row>
    <row r="55" spans="1:9" ht="16" thickBot="1">
      <c r="B55" s="161" t="s">
        <v>288</v>
      </c>
      <c r="C55" s="138">
        <f>C50-C54*C51</f>
        <v>226.73825692646653</v>
      </c>
      <c r="D55" s="132" t="s">
        <v>289</v>
      </c>
    </row>
    <row r="56" spans="1:9" ht="16" thickBot="1">
      <c r="B56" s="161" t="s">
        <v>290</v>
      </c>
      <c r="C56" s="167">
        <f>C39</f>
        <v>247</v>
      </c>
      <c r="D56" s="134" t="s">
        <v>291</v>
      </c>
      <c r="E56" s="168"/>
      <c r="F56" s="168"/>
      <c r="G56" s="169"/>
      <c r="H56" s="168"/>
      <c r="I56" s="169"/>
    </row>
    <row r="59" spans="1:9">
      <c r="A59" s="119" t="s">
        <v>216</v>
      </c>
      <c r="B59" s="120" t="s">
        <v>292</v>
      </c>
      <c r="C59" s="136"/>
    </row>
    <row r="60" spans="1:9">
      <c r="B60" s="122" t="s">
        <v>276</v>
      </c>
      <c r="C60" s="137">
        <v>60</v>
      </c>
    </row>
    <row r="61" spans="1:9" ht="15">
      <c r="B61" s="122" t="s">
        <v>198</v>
      </c>
      <c r="C61" s="138">
        <v>18</v>
      </c>
    </row>
    <row r="62" spans="1:9">
      <c r="B62" s="122" t="s">
        <v>277</v>
      </c>
      <c r="C62" s="138">
        <f>SQRT(C61)</f>
        <v>4.2426406871192848</v>
      </c>
    </row>
    <row r="63" spans="1:9">
      <c r="B63" s="158"/>
    </row>
    <row r="64" spans="1:9">
      <c r="B64" s="126" t="s">
        <v>203</v>
      </c>
    </row>
    <row r="65" spans="2:4" ht="15">
      <c r="B65" s="161" t="s">
        <v>293</v>
      </c>
      <c r="C65" s="137">
        <v>55</v>
      </c>
    </row>
    <row r="66" spans="2:4">
      <c r="B66" s="161"/>
      <c r="C66" s="137"/>
    </row>
    <row r="67" spans="2:4">
      <c r="B67" s="126" t="s">
        <v>206</v>
      </c>
    </row>
    <row r="68" spans="2:4">
      <c r="B68" s="162" t="s">
        <v>207</v>
      </c>
      <c r="C68" s="137">
        <v>70</v>
      </c>
    </row>
    <row r="69" spans="2:4">
      <c r="B69" s="126"/>
    </row>
    <row r="70" spans="2:4" ht="15">
      <c r="B70" s="161" t="s">
        <v>280</v>
      </c>
      <c r="C70" s="129" t="s">
        <v>294</v>
      </c>
    </row>
    <row r="71" spans="2:4" ht="15">
      <c r="B71" s="161" t="s">
        <v>282</v>
      </c>
      <c r="C71" s="129" t="s">
        <v>295</v>
      </c>
    </row>
    <row r="73" spans="2:4" ht="15">
      <c r="B73" s="163" t="s">
        <v>296</v>
      </c>
      <c r="C73" s="163"/>
    </row>
    <row r="75" spans="2:4" ht="15">
      <c r="B75" s="132" t="s">
        <v>285</v>
      </c>
    </row>
    <row r="76" spans="2:4">
      <c r="B76" s="122" t="s">
        <v>276</v>
      </c>
      <c r="C76" s="164">
        <f>C60</f>
        <v>60</v>
      </c>
    </row>
    <row r="77" spans="2:4" ht="15">
      <c r="B77" s="131" t="s">
        <v>286</v>
      </c>
      <c r="C77" s="138">
        <f>C62/SQRT(C68)</f>
        <v>0.50709255283710986</v>
      </c>
    </row>
    <row r="78" spans="2:4">
      <c r="B78" s="131"/>
      <c r="C78" s="138"/>
    </row>
    <row r="79" spans="2:4">
      <c r="B79" s="131" t="s">
        <v>287</v>
      </c>
      <c r="C79" s="165">
        <v>0.01</v>
      </c>
    </row>
    <row r="80" spans="2:4">
      <c r="B80" s="166" t="s">
        <v>212</v>
      </c>
      <c r="C80" s="138">
        <f>-NORMSINV(C79/2)</f>
        <v>2.5758293035488999</v>
      </c>
      <c r="D80" s="132" t="s">
        <v>217</v>
      </c>
    </row>
    <row r="81" spans="1:6" ht="15">
      <c r="B81" s="161" t="s">
        <v>297</v>
      </c>
      <c r="C81" s="138">
        <f>$C$76+$C$80*$C$77</f>
        <v>61.306183857209248</v>
      </c>
    </row>
    <row r="82" spans="1:6" ht="15">
      <c r="B82" s="161" t="s">
        <v>298</v>
      </c>
      <c r="C82" s="138">
        <f>$C$76-$C$80*$C$77</f>
        <v>58.693816142790752</v>
      </c>
    </row>
    <row r="83" spans="1:6" ht="15">
      <c r="B83" s="161" t="s">
        <v>299</v>
      </c>
      <c r="C83" s="167">
        <f>C65</f>
        <v>55</v>
      </c>
    </row>
    <row r="84" spans="1:6" ht="14" thickBot="1"/>
    <row r="85" spans="1:6" ht="16" thickBot="1">
      <c r="B85" s="134" t="s">
        <v>300</v>
      </c>
      <c r="C85" s="168"/>
      <c r="D85" s="169"/>
      <c r="E85" s="168"/>
      <c r="F85" s="169"/>
    </row>
    <row r="88" spans="1:6">
      <c r="A88" s="119" t="s">
        <v>218</v>
      </c>
      <c r="B88" s="120" t="s">
        <v>301</v>
      </c>
      <c r="C88" s="136"/>
    </row>
    <row r="89" spans="1:6">
      <c r="B89" s="122" t="s">
        <v>276</v>
      </c>
      <c r="C89" s="138">
        <v>7.5</v>
      </c>
    </row>
    <row r="90" spans="1:6" ht="15">
      <c r="B90" s="122" t="s">
        <v>198</v>
      </c>
      <c r="C90" s="138">
        <v>8</v>
      </c>
    </row>
    <row r="91" spans="1:6">
      <c r="B91" s="122" t="s">
        <v>277</v>
      </c>
      <c r="C91" s="138">
        <f>SQRT(C90)</f>
        <v>2.8284271247461903</v>
      </c>
    </row>
    <row r="92" spans="1:6">
      <c r="B92" s="158"/>
    </row>
    <row r="93" spans="1:6">
      <c r="B93" s="126" t="s">
        <v>203</v>
      </c>
    </row>
    <row r="94" spans="1:6" ht="15">
      <c r="B94" s="161" t="s">
        <v>302</v>
      </c>
      <c r="C94" s="170">
        <v>5</v>
      </c>
    </row>
    <row r="95" spans="1:6">
      <c r="B95" s="161"/>
      <c r="C95" s="137"/>
    </row>
    <row r="96" spans="1:6">
      <c r="B96" s="126" t="s">
        <v>206</v>
      </c>
    </row>
    <row r="97" spans="2:4">
      <c r="B97" s="162" t="s">
        <v>207</v>
      </c>
      <c r="C97" s="137">
        <v>20</v>
      </c>
    </row>
    <row r="98" spans="2:4">
      <c r="B98" s="126"/>
    </row>
    <row r="99" spans="2:4" ht="15">
      <c r="B99" s="161" t="s">
        <v>280</v>
      </c>
      <c r="C99" s="129" t="s">
        <v>303</v>
      </c>
    </row>
    <row r="100" spans="2:4" ht="15">
      <c r="B100" s="161" t="s">
        <v>282</v>
      </c>
      <c r="C100" s="129" t="s">
        <v>304</v>
      </c>
    </row>
    <row r="102" spans="2:4" ht="15">
      <c r="B102" s="163" t="s">
        <v>305</v>
      </c>
      <c r="C102" s="163"/>
    </row>
    <row r="104" spans="2:4" ht="15">
      <c r="B104" s="132" t="s">
        <v>306</v>
      </c>
    </row>
    <row r="105" spans="2:4">
      <c r="B105" s="122" t="s">
        <v>276</v>
      </c>
      <c r="C105" s="171">
        <f>C89</f>
        <v>7.5</v>
      </c>
    </row>
    <row r="106" spans="2:4" ht="15">
      <c r="B106" s="131" t="s">
        <v>286</v>
      </c>
      <c r="C106" s="138">
        <f>C91/SQRT(C97)</f>
        <v>0.63245553203367588</v>
      </c>
    </row>
    <row r="107" spans="2:4">
      <c r="B107" s="131"/>
      <c r="C107" s="138"/>
    </row>
    <row r="108" spans="2:4">
      <c r="B108" s="131" t="s">
        <v>287</v>
      </c>
      <c r="C108" s="165">
        <v>0.05</v>
      </c>
    </row>
    <row r="109" spans="2:4">
      <c r="B109" s="161" t="s">
        <v>219</v>
      </c>
      <c r="C109" s="138">
        <f>-NORMSINV(C108/2)</f>
        <v>1.9599639845400538</v>
      </c>
      <c r="D109" s="132" t="s">
        <v>220</v>
      </c>
    </row>
    <row r="110" spans="2:4" ht="15">
      <c r="B110" s="161" t="s">
        <v>307</v>
      </c>
      <c r="C110" s="138">
        <f>$C$105+$C$109*$C$106</f>
        <v>8.7395900646091231</v>
      </c>
    </row>
    <row r="111" spans="2:4" ht="15">
      <c r="B111" s="161" t="s">
        <v>308</v>
      </c>
      <c r="C111" s="138">
        <f>$C$105-$C$109*$C$106</f>
        <v>6.2604099353908769</v>
      </c>
    </row>
    <row r="112" spans="2:4" ht="15">
      <c r="B112" s="161" t="s">
        <v>309</v>
      </c>
      <c r="C112" s="167">
        <f>C94</f>
        <v>5</v>
      </c>
    </row>
    <row r="113" spans="1:6" ht="14" thickBot="1"/>
    <row r="114" spans="1:6" ht="16" thickBot="1">
      <c r="B114" s="134" t="s">
        <v>310</v>
      </c>
      <c r="C114" s="168"/>
      <c r="D114" s="169"/>
      <c r="E114" s="168"/>
      <c r="F114" s="169"/>
    </row>
    <row r="117" spans="1:6">
      <c r="A117" s="119" t="s">
        <v>221</v>
      </c>
      <c r="B117" s="120" t="s">
        <v>311</v>
      </c>
      <c r="C117" s="136"/>
    </row>
    <row r="118" spans="1:6">
      <c r="B118" s="122" t="s">
        <v>276</v>
      </c>
      <c r="C118" s="170">
        <v>4.9000000000000004</v>
      </c>
    </row>
    <row r="119" spans="1:6" ht="15">
      <c r="B119" s="122" t="s">
        <v>198</v>
      </c>
      <c r="C119" s="138">
        <v>0.8</v>
      </c>
    </row>
    <row r="120" spans="1:6">
      <c r="B120" s="122" t="s">
        <v>277</v>
      </c>
      <c r="C120" s="138">
        <f>SQRT(C119)</f>
        <v>0.89442719099991586</v>
      </c>
    </row>
    <row r="121" spans="1:6">
      <c r="B121" s="158"/>
    </row>
    <row r="122" spans="1:6">
      <c r="B122" s="126" t="s">
        <v>203</v>
      </c>
    </row>
    <row r="123" spans="1:6" ht="15">
      <c r="B123" s="161" t="s">
        <v>312</v>
      </c>
      <c r="C123" s="138">
        <v>4.45</v>
      </c>
    </row>
    <row r="124" spans="1:6">
      <c r="B124" s="161"/>
      <c r="C124" s="137"/>
    </row>
    <row r="125" spans="1:6">
      <c r="B125" s="126" t="s">
        <v>206</v>
      </c>
    </row>
    <row r="126" spans="1:6">
      <c r="B126" s="162" t="s">
        <v>207</v>
      </c>
      <c r="C126" s="137">
        <v>218</v>
      </c>
    </row>
    <row r="127" spans="1:6">
      <c r="B127" s="126"/>
    </row>
    <row r="128" spans="1:6" ht="15">
      <c r="B128" s="161" t="s">
        <v>280</v>
      </c>
      <c r="C128" s="129" t="s">
        <v>313</v>
      </c>
    </row>
    <row r="129" spans="2:5" ht="15">
      <c r="B129" s="161" t="s">
        <v>282</v>
      </c>
      <c r="C129" s="129" t="s">
        <v>314</v>
      </c>
    </row>
    <row r="131" spans="2:5" ht="15">
      <c r="B131" s="163" t="s">
        <v>315</v>
      </c>
      <c r="C131" s="163"/>
    </row>
    <row r="133" spans="2:5" ht="15">
      <c r="B133" s="132" t="s">
        <v>306</v>
      </c>
    </row>
    <row r="134" spans="2:5">
      <c r="B134" s="122" t="s">
        <v>276</v>
      </c>
      <c r="C134" s="171">
        <f>C118</f>
        <v>4.9000000000000004</v>
      </c>
    </row>
    <row r="135" spans="2:5" ht="15">
      <c r="B135" s="131" t="s">
        <v>286</v>
      </c>
      <c r="C135" s="138">
        <f>C120/SQRT(C126)</f>
        <v>6.0578253281538263E-2</v>
      </c>
    </row>
    <row r="136" spans="2:5">
      <c r="B136" s="131"/>
      <c r="C136" s="138"/>
    </row>
    <row r="137" spans="2:5">
      <c r="B137" s="131" t="s">
        <v>287</v>
      </c>
      <c r="C137" s="165">
        <v>0.05</v>
      </c>
    </row>
    <row r="138" spans="2:5">
      <c r="B138" s="161" t="s">
        <v>219</v>
      </c>
      <c r="C138" s="138">
        <f>-NORMSINV(C137)</f>
        <v>1.6448536269514726</v>
      </c>
      <c r="D138" s="132" t="s">
        <v>222</v>
      </c>
    </row>
    <row r="139" spans="2:5" ht="15">
      <c r="B139" s="161" t="s">
        <v>316</v>
      </c>
      <c r="C139" s="138">
        <f>$C$134-$C$138*$C$135</f>
        <v>4.8003576403754771</v>
      </c>
      <c r="D139" s="132" t="s">
        <v>317</v>
      </c>
    </row>
    <row r="140" spans="2:5" ht="15">
      <c r="B140" s="161" t="s">
        <v>318</v>
      </c>
      <c r="C140" s="167">
        <f>C123</f>
        <v>4.45</v>
      </c>
    </row>
    <row r="141" spans="2:5" ht="14" thickBot="1"/>
    <row r="142" spans="2:5" ht="16" thickBot="1">
      <c r="B142" s="134" t="s">
        <v>319</v>
      </c>
      <c r="C142" s="168"/>
      <c r="D142" s="168"/>
      <c r="E142" s="169"/>
    </row>
    <row r="143" spans="2:5">
      <c r="C143" s="136"/>
    </row>
    <row r="145" spans="1:7">
      <c r="A145" s="119" t="s">
        <v>223</v>
      </c>
      <c r="B145" s="120" t="s">
        <v>320</v>
      </c>
      <c r="C145" s="136"/>
    </row>
    <row r="146" spans="1:7">
      <c r="B146" s="122" t="s">
        <v>276</v>
      </c>
      <c r="C146" s="137">
        <v>500</v>
      </c>
    </row>
    <row r="147" spans="1:7" ht="15">
      <c r="B147" s="122" t="s">
        <v>198</v>
      </c>
      <c r="C147" s="137">
        <f>C148^2</f>
        <v>11025</v>
      </c>
      <c r="G147" s="172"/>
    </row>
    <row r="148" spans="1:7">
      <c r="B148" s="122" t="s">
        <v>277</v>
      </c>
      <c r="C148" s="137">
        <v>105</v>
      </c>
    </row>
    <row r="149" spans="1:7">
      <c r="B149" s="158"/>
    </row>
    <row r="150" spans="1:7">
      <c r="B150" s="126" t="s">
        <v>203</v>
      </c>
      <c r="C150" s="133" t="s">
        <v>224</v>
      </c>
      <c r="G150" s="133" t="s">
        <v>225</v>
      </c>
    </row>
    <row r="151" spans="1:7" ht="15">
      <c r="B151" s="151" t="s">
        <v>321</v>
      </c>
      <c r="C151" s="142">
        <v>105</v>
      </c>
      <c r="F151" s="151" t="s">
        <v>322</v>
      </c>
      <c r="G151" s="142">
        <v>105</v>
      </c>
    </row>
    <row r="152" spans="1:7" ht="15">
      <c r="B152" s="151" t="s">
        <v>323</v>
      </c>
      <c r="C152" s="142">
        <v>520</v>
      </c>
      <c r="F152" s="151" t="s">
        <v>324</v>
      </c>
      <c r="G152" s="142">
        <v>490</v>
      </c>
    </row>
    <row r="154" spans="1:7">
      <c r="A154" s="121" t="s">
        <v>226</v>
      </c>
      <c r="B154" s="126" t="s">
        <v>227</v>
      </c>
      <c r="F154" s="126" t="s">
        <v>228</v>
      </c>
    </row>
    <row r="155" spans="1:7" ht="15">
      <c r="B155" s="161" t="s">
        <v>280</v>
      </c>
      <c r="C155" s="129" t="s">
        <v>325</v>
      </c>
      <c r="F155" s="161" t="s">
        <v>280</v>
      </c>
      <c r="G155" s="129" t="s">
        <v>325</v>
      </c>
    </row>
    <row r="156" spans="1:7" ht="15">
      <c r="B156" s="161" t="s">
        <v>282</v>
      </c>
      <c r="C156" s="129" t="s">
        <v>326</v>
      </c>
      <c r="F156" s="161" t="s">
        <v>282</v>
      </c>
      <c r="G156" s="129" t="s">
        <v>326</v>
      </c>
    </row>
    <row r="157" spans="1:7">
      <c r="B157" s="161"/>
      <c r="C157" s="129"/>
      <c r="F157" s="161"/>
      <c r="G157" s="129"/>
    </row>
    <row r="158" spans="1:7" ht="15">
      <c r="B158" s="167" t="s">
        <v>327</v>
      </c>
      <c r="F158" s="167" t="s">
        <v>328</v>
      </c>
    </row>
    <row r="160" spans="1:7" ht="15">
      <c r="B160" s="132" t="s">
        <v>306</v>
      </c>
      <c r="F160" s="132" t="s">
        <v>306</v>
      </c>
    </row>
    <row r="161" spans="1:10">
      <c r="B161" s="122" t="s">
        <v>276</v>
      </c>
      <c r="C161" s="164">
        <f>C146</f>
        <v>500</v>
      </c>
      <c r="F161" s="122" t="s">
        <v>276</v>
      </c>
      <c r="G161" s="164">
        <f>C146</f>
        <v>500</v>
      </c>
    </row>
    <row r="162" spans="1:10" ht="15">
      <c r="B162" s="131" t="s">
        <v>286</v>
      </c>
      <c r="C162" s="138">
        <f>C148/SQRT(C151)</f>
        <v>10.246950765959598</v>
      </c>
      <c r="F162" s="131" t="s">
        <v>286</v>
      </c>
      <c r="G162" s="138">
        <f>C148/SQRT(G151)</f>
        <v>10.246950765959598</v>
      </c>
    </row>
    <row r="164" spans="1:10">
      <c r="B164" s="131" t="s">
        <v>287</v>
      </c>
      <c r="C164" s="165">
        <v>0.05</v>
      </c>
      <c r="F164" s="131" t="s">
        <v>287</v>
      </c>
      <c r="G164" s="165">
        <v>0.05</v>
      </c>
    </row>
    <row r="165" spans="1:10">
      <c r="B165" s="161" t="s">
        <v>219</v>
      </c>
      <c r="C165" s="138">
        <f>-NORMSINV(C164/2)</f>
        <v>1.9599639845400538</v>
      </c>
      <c r="F165" s="161" t="s">
        <v>219</v>
      </c>
      <c r="G165" s="138">
        <f>-NORMSINV(G164/2)</f>
        <v>1.9599639845400538</v>
      </c>
    </row>
    <row r="166" spans="1:10" ht="15">
      <c r="B166" s="161" t="s">
        <v>329</v>
      </c>
      <c r="C166" s="170">
        <f>$C$146+C$165*$C$162</f>
        <v>520.08365445263598</v>
      </c>
      <c r="F166" s="161" t="s">
        <v>297</v>
      </c>
      <c r="G166" s="170">
        <f>$C$146+G$165*$C$162</f>
        <v>520.08365445263598</v>
      </c>
    </row>
    <row r="167" spans="1:10" ht="15">
      <c r="B167" s="161" t="s">
        <v>330</v>
      </c>
      <c r="C167" s="170">
        <f>$C$146-C$165*$C$162</f>
        <v>479.91634554736407</v>
      </c>
      <c r="F167" s="161" t="s">
        <v>298</v>
      </c>
      <c r="G167" s="170">
        <f>$C$146-G$165*$C$162</f>
        <v>479.91634554736407</v>
      </c>
    </row>
    <row r="168" spans="1:10" ht="15">
      <c r="B168" s="161" t="s">
        <v>331</v>
      </c>
      <c r="C168" s="170">
        <f>C152</f>
        <v>520</v>
      </c>
      <c r="D168" s="158"/>
      <c r="E168" s="158"/>
      <c r="F168" s="173" t="s">
        <v>299</v>
      </c>
      <c r="G168" s="170">
        <f>G152</f>
        <v>490</v>
      </c>
    </row>
    <row r="169" spans="1:10" ht="14" thickBot="1"/>
    <row r="170" spans="1:10" ht="16" thickBot="1">
      <c r="B170" s="134" t="s">
        <v>332</v>
      </c>
      <c r="C170" s="168"/>
      <c r="D170" s="174"/>
      <c r="E170" s="169"/>
      <c r="F170" s="134" t="s">
        <v>333</v>
      </c>
      <c r="G170" s="168"/>
      <c r="H170" s="174"/>
      <c r="I170" s="168"/>
      <c r="J170" s="169"/>
    </row>
    <row r="172" spans="1:10">
      <c r="A172" s="121" t="s">
        <v>189</v>
      </c>
      <c r="B172" s="126" t="s">
        <v>229</v>
      </c>
    </row>
    <row r="173" spans="1:10" ht="15">
      <c r="B173" s="161" t="s">
        <v>280</v>
      </c>
      <c r="C173" s="175" t="s">
        <v>334</v>
      </c>
    </row>
    <row r="174" spans="1:10" ht="15">
      <c r="B174" s="161" t="s">
        <v>282</v>
      </c>
      <c r="C174" s="175" t="s">
        <v>335</v>
      </c>
    </row>
    <row r="175" spans="1:10">
      <c r="B175" s="161"/>
      <c r="C175" s="129"/>
    </row>
    <row r="176" spans="1:10" ht="15">
      <c r="B176" s="167" t="s">
        <v>336</v>
      </c>
    </row>
    <row r="178" spans="2:7" ht="15">
      <c r="B178" s="132" t="s">
        <v>337</v>
      </c>
    </row>
    <row r="179" spans="2:7" ht="15">
      <c r="B179" s="122" t="s">
        <v>338</v>
      </c>
      <c r="C179" s="164">
        <f>C164</f>
        <v>0.05</v>
      </c>
    </row>
    <row r="180" spans="2:7" ht="15">
      <c r="B180" s="122" t="s">
        <v>339</v>
      </c>
      <c r="C180" s="138">
        <f>SQRT(C147/C151+C147/G151)</f>
        <v>14.491376746189438</v>
      </c>
    </row>
    <row r="182" spans="2:7">
      <c r="B182" s="131" t="s">
        <v>287</v>
      </c>
      <c r="C182" s="165">
        <v>0.05</v>
      </c>
    </row>
    <row r="183" spans="2:7">
      <c r="B183" s="161" t="s">
        <v>219</v>
      </c>
      <c r="C183" s="138">
        <f>-NORMSINV(C182/2)</f>
        <v>1.9599639845400538</v>
      </c>
    </row>
    <row r="184" spans="2:7" ht="15">
      <c r="B184" s="151" t="s">
        <v>340</v>
      </c>
      <c r="C184" s="138">
        <f>$C$179+C$183*$C$180</f>
        <v>28.45257650893253</v>
      </c>
    </row>
    <row r="185" spans="2:7" ht="15">
      <c r="B185" s="151" t="s">
        <v>341</v>
      </c>
      <c r="C185" s="138">
        <f>$C$179-C$183*$C$180</f>
        <v>-28.352576508932529</v>
      </c>
    </row>
    <row r="186" spans="2:7" ht="15">
      <c r="B186" s="151" t="s">
        <v>342</v>
      </c>
      <c r="C186" s="167">
        <f>C152-G152</f>
        <v>30</v>
      </c>
    </row>
    <row r="187" spans="2:7" ht="14" thickBot="1"/>
    <row r="188" spans="2:7" ht="16" thickBot="1">
      <c r="B188" s="134" t="s">
        <v>343</v>
      </c>
      <c r="C188" s="168"/>
      <c r="D188" s="168"/>
      <c r="E188" s="169"/>
      <c r="F188" s="168"/>
      <c r="G188" s="169"/>
    </row>
    <row r="189" spans="2:7">
      <c r="B189" s="163"/>
      <c r="C189" s="175"/>
      <c r="D189" s="175"/>
      <c r="E189" s="175"/>
    </row>
    <row r="190" spans="2:7" ht="16">
      <c r="B190" s="283" t="s">
        <v>230</v>
      </c>
      <c r="C190" s="283"/>
      <c r="D190" s="283"/>
      <c r="E190" s="283"/>
      <c r="F190" s="283"/>
      <c r="G190" s="283"/>
    </row>
    <row r="191" spans="2:7">
      <c r="B191" s="161" t="s">
        <v>231</v>
      </c>
      <c r="C191" s="175"/>
      <c r="E191" s="161"/>
      <c r="F191" s="161" t="s">
        <v>232</v>
      </c>
      <c r="G191" s="175"/>
    </row>
    <row r="192" spans="2:7" ht="15">
      <c r="B192" s="151" t="s">
        <v>344</v>
      </c>
      <c r="C192" s="137">
        <f>C151</f>
        <v>105</v>
      </c>
      <c r="E192" s="151"/>
      <c r="F192" s="151" t="s">
        <v>345</v>
      </c>
      <c r="G192" s="137">
        <f>G151</f>
        <v>105</v>
      </c>
    </row>
    <row r="193" spans="2:7" ht="15">
      <c r="B193" s="151" t="s">
        <v>346</v>
      </c>
      <c r="C193" s="137">
        <f>C152</f>
        <v>520</v>
      </c>
      <c r="E193" s="151"/>
      <c r="F193" s="151" t="s">
        <v>293</v>
      </c>
      <c r="G193" s="137">
        <f>G152</f>
        <v>490</v>
      </c>
    </row>
    <row r="194" spans="2:7" ht="15">
      <c r="B194" s="131" t="s">
        <v>347</v>
      </c>
      <c r="C194" s="138">
        <f>SQRT($C$147/C192)</f>
        <v>10.246950765959598</v>
      </c>
      <c r="E194" s="131"/>
      <c r="F194" s="131" t="s">
        <v>348</v>
      </c>
      <c r="G194" s="138">
        <f>SQRT($C$147/G192)</f>
        <v>10.246950765959598</v>
      </c>
    </row>
    <row r="195" spans="2:7">
      <c r="B195" s="161" t="s">
        <v>233</v>
      </c>
      <c r="C195" s="176">
        <v>0.95</v>
      </c>
      <c r="D195" s="175"/>
      <c r="E195" s="161"/>
      <c r="F195" s="161" t="s">
        <v>233</v>
      </c>
      <c r="G195" s="176">
        <v>0.95</v>
      </c>
    </row>
    <row r="196" spans="2:7" ht="14" thickBot="1">
      <c r="B196" s="151" t="s">
        <v>234</v>
      </c>
      <c r="C196" s="163">
        <f>-NORMSINV((1-C195)/2)</f>
        <v>1.9599639845400536</v>
      </c>
      <c r="D196" s="175"/>
      <c r="E196" s="151"/>
      <c r="F196" s="151" t="s">
        <v>234</v>
      </c>
      <c r="G196" s="163">
        <f>-NORMSINV((1-G195)/2)</f>
        <v>1.9599639845400536</v>
      </c>
    </row>
    <row r="197" spans="2:7">
      <c r="B197" s="177" t="s">
        <v>235</v>
      </c>
      <c r="C197" s="178">
        <f>C194*C196</f>
        <v>20.083654452635926</v>
      </c>
      <c r="D197" s="175"/>
      <c r="E197" s="163"/>
      <c r="F197" s="177" t="s">
        <v>236</v>
      </c>
      <c r="G197" s="178">
        <f>G194*G196</f>
        <v>20.083654452635926</v>
      </c>
    </row>
    <row r="198" spans="2:7">
      <c r="B198" s="179" t="s">
        <v>237</v>
      </c>
      <c r="C198" s="180">
        <f>C193+C197</f>
        <v>540.08365445263598</v>
      </c>
      <c r="D198" s="175"/>
      <c r="E198" s="161"/>
      <c r="F198" s="179" t="s">
        <v>237</v>
      </c>
      <c r="G198" s="180">
        <f>G193+G197</f>
        <v>510.08365445263593</v>
      </c>
    </row>
    <row r="199" spans="2:7" ht="14" thickBot="1">
      <c r="B199" s="181" t="s">
        <v>238</v>
      </c>
      <c r="C199" s="153">
        <f>C193-C197</f>
        <v>499.91634554736407</v>
      </c>
      <c r="D199" s="175"/>
      <c r="E199" s="161"/>
      <c r="F199" s="181" t="s">
        <v>238</v>
      </c>
      <c r="G199" s="153">
        <f>G193-G197</f>
        <v>469.91634554736407</v>
      </c>
    </row>
    <row r="200" spans="2:7">
      <c r="B200" s="163"/>
      <c r="C200" s="175"/>
      <c r="D200" s="175"/>
      <c r="E200" s="175"/>
    </row>
    <row r="201" spans="2:7">
      <c r="B201" s="163"/>
      <c r="C201" s="175"/>
      <c r="D201" s="175" t="s">
        <v>239</v>
      </c>
      <c r="E201" s="175"/>
    </row>
    <row r="202" spans="2:7" ht="15">
      <c r="B202" s="163"/>
      <c r="C202" s="175"/>
      <c r="D202" s="151" t="s">
        <v>342</v>
      </c>
      <c r="E202" s="163">
        <f>C186</f>
        <v>30</v>
      </c>
    </row>
    <row r="203" spans="2:7" ht="15">
      <c r="B203" s="163"/>
      <c r="C203" s="175"/>
      <c r="D203" s="122" t="s">
        <v>339</v>
      </c>
      <c r="E203" s="163">
        <f>C180</f>
        <v>14.491376746189438</v>
      </c>
    </row>
    <row r="204" spans="2:7">
      <c r="B204" s="163"/>
      <c r="C204" s="175"/>
      <c r="D204" s="161" t="s">
        <v>233</v>
      </c>
      <c r="E204" s="176">
        <v>0.95</v>
      </c>
    </row>
    <row r="205" spans="2:7" ht="14" thickBot="1">
      <c r="B205" s="163"/>
      <c r="C205" s="175"/>
      <c r="D205" s="151" t="s">
        <v>234</v>
      </c>
      <c r="E205" s="163">
        <f>-NORMSINV((1-E204)/2)</f>
        <v>1.9599639845400536</v>
      </c>
    </row>
    <row r="206" spans="2:7">
      <c r="B206" s="163"/>
      <c r="C206" s="182"/>
      <c r="D206" s="183" t="s">
        <v>235</v>
      </c>
      <c r="E206" s="178">
        <f>E203*E205</f>
        <v>28.40257650893253</v>
      </c>
    </row>
    <row r="207" spans="2:7">
      <c r="B207" s="163"/>
      <c r="C207" s="184"/>
      <c r="D207" s="161" t="s">
        <v>237</v>
      </c>
      <c r="E207" s="180">
        <f>E202+E206</f>
        <v>58.402576508932526</v>
      </c>
    </row>
    <row r="208" spans="2:7" ht="14" thickBot="1">
      <c r="C208" s="185"/>
      <c r="D208" s="186" t="s">
        <v>238</v>
      </c>
      <c r="E208" s="153">
        <f>E202-E206</f>
        <v>1.5974234910674703</v>
      </c>
    </row>
    <row r="209" spans="1:5">
      <c r="D209" s="161"/>
      <c r="E209" s="163"/>
    </row>
    <row r="211" spans="1:5">
      <c r="A211" s="119" t="s">
        <v>240</v>
      </c>
      <c r="B211" s="120" t="s">
        <v>320</v>
      </c>
      <c r="C211" s="136"/>
    </row>
    <row r="212" spans="1:5" ht="15">
      <c r="B212" s="122" t="s">
        <v>198</v>
      </c>
      <c r="C212" s="138">
        <v>30</v>
      </c>
    </row>
    <row r="213" spans="1:5">
      <c r="B213" s="122" t="s">
        <v>277</v>
      </c>
      <c r="C213" s="138">
        <f>SQRT(C212)</f>
        <v>5.4772255750516612</v>
      </c>
    </row>
    <row r="215" spans="1:5">
      <c r="B215" s="126" t="s">
        <v>203</v>
      </c>
    </row>
    <row r="216" spans="1:5" ht="15">
      <c r="B216" s="151" t="s">
        <v>349</v>
      </c>
      <c r="C216" s="142">
        <f>COUNT(C218:C222)</f>
        <v>5</v>
      </c>
      <c r="D216" s="142">
        <f>COUNT(D218:D222)</f>
        <v>5</v>
      </c>
    </row>
    <row r="217" spans="1:5">
      <c r="C217" s="133" t="s">
        <v>242</v>
      </c>
      <c r="D217" s="133" t="s">
        <v>243</v>
      </c>
    </row>
    <row r="218" spans="1:5">
      <c r="B218" s="151"/>
      <c r="C218" s="142">
        <v>85</v>
      </c>
      <c r="D218" s="142">
        <v>81</v>
      </c>
    </row>
    <row r="219" spans="1:5">
      <c r="B219" s="151"/>
      <c r="C219" s="142">
        <v>82</v>
      </c>
      <c r="D219" s="142">
        <v>83</v>
      </c>
    </row>
    <row r="220" spans="1:5">
      <c r="C220" s="142">
        <v>84</v>
      </c>
      <c r="D220" s="142">
        <v>77</v>
      </c>
    </row>
    <row r="221" spans="1:5">
      <c r="C221" s="187">
        <v>88</v>
      </c>
      <c r="D221" s="187">
        <v>79</v>
      </c>
    </row>
    <row r="222" spans="1:5">
      <c r="C222" s="160">
        <v>86</v>
      </c>
      <c r="D222" s="160">
        <v>80</v>
      </c>
    </row>
    <row r="223" spans="1:5" ht="15">
      <c r="B223" s="151" t="s">
        <v>350</v>
      </c>
      <c r="C223" s="188">
        <f>AVERAGE(C218:C222)</f>
        <v>85</v>
      </c>
      <c r="D223" s="188">
        <f>AVERAGE(D218:D222)</f>
        <v>80</v>
      </c>
    </row>
    <row r="225" spans="2:3">
      <c r="B225" s="126" t="s">
        <v>229</v>
      </c>
    </row>
    <row r="226" spans="2:3" ht="15">
      <c r="B226" s="161" t="s">
        <v>280</v>
      </c>
      <c r="C226" s="175" t="s">
        <v>351</v>
      </c>
    </row>
    <row r="227" spans="2:3" ht="15">
      <c r="B227" s="161" t="s">
        <v>282</v>
      </c>
      <c r="C227" s="175" t="s">
        <v>352</v>
      </c>
    </row>
    <row r="228" spans="2:3">
      <c r="B228" s="161"/>
      <c r="C228" s="129"/>
    </row>
    <row r="229" spans="2:3" ht="15">
      <c r="B229" s="167" t="s">
        <v>353</v>
      </c>
    </row>
    <row r="231" spans="2:3" ht="15">
      <c r="B231" s="132" t="s">
        <v>354</v>
      </c>
    </row>
    <row r="232" spans="2:3" ht="15">
      <c r="B232" s="122" t="s">
        <v>355</v>
      </c>
      <c r="C232" s="164">
        <v>0</v>
      </c>
    </row>
    <row r="233" spans="2:3" ht="15">
      <c r="B233" s="122" t="s">
        <v>356</v>
      </c>
      <c r="C233" s="138">
        <f>SQRT(C212/C216+C212/D216)</f>
        <v>3.4641016151377544</v>
      </c>
    </row>
    <row r="235" spans="2:3">
      <c r="B235" s="131" t="s">
        <v>287</v>
      </c>
      <c r="C235" s="165">
        <v>0.05</v>
      </c>
    </row>
    <row r="236" spans="2:3">
      <c r="B236" s="161" t="s">
        <v>219</v>
      </c>
      <c r="C236" s="138">
        <f>-NORMSINV(C235/2)</f>
        <v>1.9599639845400538</v>
      </c>
    </row>
    <row r="237" spans="2:3" ht="15">
      <c r="B237" s="151" t="s">
        <v>357</v>
      </c>
      <c r="C237" s="138">
        <f>$C$232+$C$236*$C$233</f>
        <v>6.7895144044570293</v>
      </c>
    </row>
    <row r="238" spans="2:3" ht="15">
      <c r="B238" s="151" t="s">
        <v>358</v>
      </c>
      <c r="C238" s="138">
        <f>$C$232-$C$236*$C$233</f>
        <v>-6.7895144044570293</v>
      </c>
    </row>
    <row r="239" spans="2:3" ht="15">
      <c r="B239" s="166" t="s">
        <v>359</v>
      </c>
      <c r="C239" s="167">
        <f>C223-D223</f>
        <v>5</v>
      </c>
    </row>
    <row r="240" spans="2:3" ht="14" thickBot="1"/>
    <row r="241" spans="2:7" ht="16" thickBot="1">
      <c r="B241" s="134" t="s">
        <v>360</v>
      </c>
      <c r="C241" s="168"/>
      <c r="D241" s="168"/>
      <c r="E241" s="169"/>
      <c r="F241" s="175"/>
      <c r="G241" s="175"/>
    </row>
    <row r="243" spans="2:7" ht="16">
      <c r="B243" s="283" t="s">
        <v>245</v>
      </c>
      <c r="C243" s="283"/>
      <c r="D243" s="283"/>
      <c r="E243" s="283"/>
      <c r="F243" s="283"/>
      <c r="G243" s="283"/>
    </row>
    <row r="244" spans="2:7">
      <c r="B244" s="161" t="s">
        <v>242</v>
      </c>
      <c r="C244" s="175"/>
      <c r="E244" s="161"/>
      <c r="F244" s="161" t="s">
        <v>242</v>
      </c>
      <c r="G244" s="175"/>
    </row>
    <row r="245" spans="2:7" ht="15">
      <c r="B245" s="151" t="s">
        <v>361</v>
      </c>
      <c r="C245" s="137">
        <f>C216</f>
        <v>5</v>
      </c>
      <c r="E245" s="151"/>
      <c r="F245" s="151" t="s">
        <v>362</v>
      </c>
      <c r="G245" s="137">
        <f>D216</f>
        <v>5</v>
      </c>
    </row>
    <row r="246" spans="2:7" ht="15">
      <c r="B246" s="151" t="s">
        <v>363</v>
      </c>
      <c r="C246" s="137">
        <f>C223</f>
        <v>85</v>
      </c>
      <c r="E246" s="151"/>
      <c r="F246" s="151" t="s">
        <v>364</v>
      </c>
      <c r="G246" s="137">
        <f>D223</f>
        <v>80</v>
      </c>
    </row>
    <row r="247" spans="2:7" ht="15">
      <c r="B247" s="131" t="s">
        <v>365</v>
      </c>
      <c r="C247" s="138">
        <f>SQRT($C$212/C245)</f>
        <v>2.4494897427831779</v>
      </c>
      <c r="E247" s="131"/>
      <c r="F247" s="131" t="s">
        <v>366</v>
      </c>
      <c r="G247" s="138">
        <f>SQRT($C$212/G245)</f>
        <v>2.4494897427831779</v>
      </c>
    </row>
    <row r="248" spans="2:7">
      <c r="B248" s="161" t="s">
        <v>233</v>
      </c>
      <c r="C248" s="176">
        <v>0.95</v>
      </c>
      <c r="D248" s="175"/>
      <c r="E248" s="161"/>
      <c r="F248" s="161" t="s">
        <v>233</v>
      </c>
      <c r="G248" s="176">
        <v>0.95</v>
      </c>
    </row>
    <row r="249" spans="2:7" ht="14" thickBot="1">
      <c r="B249" s="151" t="s">
        <v>234</v>
      </c>
      <c r="C249" s="163">
        <f>-NORMSINV((1-C248)/2)</f>
        <v>1.9599639845400536</v>
      </c>
      <c r="D249" s="175"/>
      <c r="E249" s="151"/>
      <c r="F249" s="151" t="s">
        <v>234</v>
      </c>
      <c r="G249" s="163">
        <f>-NORMSINV((1-G248)/2)</f>
        <v>1.9599639845400536</v>
      </c>
    </row>
    <row r="250" spans="2:7">
      <c r="B250" s="177" t="s">
        <v>235</v>
      </c>
      <c r="C250" s="178">
        <f>C247*C249</f>
        <v>4.8009116763553079</v>
      </c>
      <c r="D250" s="175"/>
      <c r="E250" s="163"/>
      <c r="F250" s="177" t="s">
        <v>236</v>
      </c>
      <c r="G250" s="178">
        <f>G247*G249</f>
        <v>4.8009116763553079</v>
      </c>
    </row>
    <row r="251" spans="2:7">
      <c r="B251" s="179" t="s">
        <v>237</v>
      </c>
      <c r="C251" s="180">
        <f>C246+C250</f>
        <v>89.800911676355312</v>
      </c>
      <c r="D251" s="175"/>
      <c r="E251" s="161"/>
      <c r="F251" s="179" t="s">
        <v>237</v>
      </c>
      <c r="G251" s="180">
        <f>G246+G250</f>
        <v>84.800911676355312</v>
      </c>
    </row>
    <row r="252" spans="2:7" ht="14" thickBot="1">
      <c r="B252" s="181" t="s">
        <v>238</v>
      </c>
      <c r="C252" s="153">
        <f>C246-C250</f>
        <v>80.199088323644688</v>
      </c>
      <c r="D252" s="175"/>
      <c r="E252" s="161"/>
      <c r="F252" s="181" t="s">
        <v>238</v>
      </c>
      <c r="G252" s="153">
        <f>G246-G250</f>
        <v>75.199088323644688</v>
      </c>
    </row>
    <row r="253" spans="2:7">
      <c r="B253" s="163"/>
      <c r="C253" s="175"/>
      <c r="D253" s="175"/>
      <c r="E253" s="175"/>
    </row>
    <row r="254" spans="2:7">
      <c r="B254" s="163"/>
      <c r="C254" s="175"/>
      <c r="D254" s="175" t="s">
        <v>239</v>
      </c>
      <c r="E254" s="175"/>
    </row>
    <row r="255" spans="2:7" ht="15">
      <c r="B255" s="163"/>
      <c r="C255" s="175"/>
      <c r="D255" s="151" t="s">
        <v>367</v>
      </c>
      <c r="E255" s="163">
        <f>C239</f>
        <v>5</v>
      </c>
    </row>
    <row r="256" spans="2:7" ht="15">
      <c r="B256" s="163"/>
      <c r="C256" s="175"/>
      <c r="D256" s="122" t="s">
        <v>368</v>
      </c>
      <c r="E256" s="163">
        <f>C233</f>
        <v>3.4641016151377544</v>
      </c>
    </row>
    <row r="257" spans="1:5">
      <c r="B257" s="163"/>
      <c r="C257" s="175"/>
      <c r="D257" s="161" t="s">
        <v>233</v>
      </c>
      <c r="E257" s="176">
        <v>0.95</v>
      </c>
    </row>
    <row r="258" spans="1:5" ht="14" thickBot="1">
      <c r="B258" s="163"/>
      <c r="C258" s="175"/>
      <c r="D258" s="151" t="s">
        <v>234</v>
      </c>
      <c r="E258" s="163">
        <f>-NORMSINV((1-E257)/2)</f>
        <v>1.9599639845400536</v>
      </c>
    </row>
    <row r="259" spans="1:5">
      <c r="B259" s="163"/>
      <c r="C259" s="279" t="s">
        <v>235</v>
      </c>
      <c r="D259" s="280"/>
      <c r="E259" s="178">
        <f>E256*E258</f>
        <v>6.7895144044570284</v>
      </c>
    </row>
    <row r="260" spans="1:5">
      <c r="B260" s="163"/>
      <c r="C260" s="281" t="s">
        <v>237</v>
      </c>
      <c r="D260" s="282"/>
      <c r="E260" s="180">
        <f>E255+E259</f>
        <v>11.789514404457028</v>
      </c>
    </row>
    <row r="261" spans="1:5" ht="14" thickBot="1">
      <c r="C261" s="277" t="s">
        <v>238</v>
      </c>
      <c r="D261" s="278"/>
      <c r="E261" s="153">
        <f>E255-E259</f>
        <v>-1.7895144044570284</v>
      </c>
    </row>
    <row r="262" spans="1:5">
      <c r="D262" s="161"/>
      <c r="E262" s="163"/>
    </row>
    <row r="264" spans="1:5">
      <c r="A264" s="119" t="s">
        <v>247</v>
      </c>
      <c r="B264" s="120" t="s">
        <v>369</v>
      </c>
      <c r="C264" s="136"/>
    </row>
    <row r="265" spans="1:5" ht="15">
      <c r="B265" s="122" t="s">
        <v>198</v>
      </c>
      <c r="C265" s="138">
        <v>5</v>
      </c>
    </row>
    <row r="266" spans="1:5">
      <c r="B266" s="189" t="s">
        <v>277</v>
      </c>
      <c r="C266" s="138">
        <f>SQRT(C265)</f>
        <v>2.2360679774997898</v>
      </c>
    </row>
    <row r="268" spans="1:5">
      <c r="B268" s="126" t="s">
        <v>203</v>
      </c>
    </row>
    <row r="269" spans="1:5" ht="15">
      <c r="B269" s="151" t="s">
        <v>349</v>
      </c>
      <c r="C269" s="142">
        <f>COUNT(C271:C275)</f>
        <v>3</v>
      </c>
      <c r="D269" s="142">
        <f>COUNT(D271:D275)</f>
        <v>5</v>
      </c>
    </row>
    <row r="270" spans="1:5">
      <c r="C270" s="133" t="s">
        <v>249</v>
      </c>
      <c r="D270" s="133" t="s">
        <v>250</v>
      </c>
    </row>
    <row r="271" spans="1:5">
      <c r="B271" s="151"/>
      <c r="C271" s="142">
        <v>3</v>
      </c>
      <c r="D271" s="142">
        <v>7</v>
      </c>
    </row>
    <row r="272" spans="1:5">
      <c r="B272" s="151"/>
      <c r="C272" s="142">
        <v>2</v>
      </c>
      <c r="D272" s="142">
        <v>11</v>
      </c>
    </row>
    <row r="273" spans="2:4">
      <c r="C273" s="142">
        <v>4</v>
      </c>
      <c r="D273" s="142">
        <v>9</v>
      </c>
    </row>
    <row r="274" spans="2:4">
      <c r="C274" s="187"/>
      <c r="D274" s="187">
        <v>5</v>
      </c>
    </row>
    <row r="275" spans="2:4">
      <c r="C275" s="160"/>
      <c r="D275" s="160">
        <v>8</v>
      </c>
    </row>
    <row r="276" spans="2:4" ht="15">
      <c r="B276" s="151" t="s">
        <v>350</v>
      </c>
      <c r="C276" s="142">
        <f>AVERAGE(C271:C275)</f>
        <v>3</v>
      </c>
      <c r="D276" s="142">
        <f>AVERAGE(D271:D275)</f>
        <v>8</v>
      </c>
    </row>
    <row r="278" spans="2:4">
      <c r="B278" s="126" t="s">
        <v>229</v>
      </c>
    </row>
    <row r="279" spans="2:4" ht="15">
      <c r="B279" s="161" t="s">
        <v>280</v>
      </c>
      <c r="C279" s="175" t="s">
        <v>370</v>
      </c>
    </row>
    <row r="280" spans="2:4" ht="15">
      <c r="B280" s="161" t="s">
        <v>282</v>
      </c>
      <c r="C280" s="175" t="s">
        <v>371</v>
      </c>
    </row>
    <row r="281" spans="2:4">
      <c r="B281" s="161"/>
      <c r="C281" s="129"/>
    </row>
    <row r="282" spans="2:4" ht="15">
      <c r="B282" s="167" t="s">
        <v>372</v>
      </c>
    </row>
    <row r="284" spans="2:4" ht="15">
      <c r="B284" s="132" t="s">
        <v>373</v>
      </c>
    </row>
    <row r="285" spans="2:4" ht="15">
      <c r="B285" s="122" t="s">
        <v>374</v>
      </c>
      <c r="C285" s="164">
        <v>0</v>
      </c>
    </row>
    <row r="286" spans="2:4" ht="15">
      <c r="B286" s="122" t="s">
        <v>375</v>
      </c>
      <c r="C286" s="138">
        <f>SQRT(C265/C269+C265/D269)</f>
        <v>1.6329931618554521</v>
      </c>
    </row>
    <row r="288" spans="2:4">
      <c r="B288" s="131" t="s">
        <v>287</v>
      </c>
      <c r="C288" s="165">
        <v>0.05</v>
      </c>
    </row>
    <row r="289" spans="2:7">
      <c r="B289" s="161" t="s">
        <v>219</v>
      </c>
      <c r="C289" s="138">
        <f>-NORMSINV(C288/2)</f>
        <v>1.9599639845400538</v>
      </c>
    </row>
    <row r="290" spans="2:7" ht="15">
      <c r="B290" s="151" t="s">
        <v>376</v>
      </c>
      <c r="C290" s="138">
        <f>$C$285+$C$289*$C$286</f>
        <v>3.200607784236873</v>
      </c>
    </row>
    <row r="291" spans="2:7" ht="15">
      <c r="B291" s="151" t="s">
        <v>377</v>
      </c>
      <c r="C291" s="138">
        <f>$C$285-$C$289*$C$286</f>
        <v>-3.200607784236873</v>
      </c>
    </row>
    <row r="292" spans="2:7" ht="15">
      <c r="B292" s="151" t="s">
        <v>378</v>
      </c>
      <c r="C292" s="167">
        <f>D276-C276</f>
        <v>5</v>
      </c>
    </row>
    <row r="293" spans="2:7" ht="14" thickBot="1"/>
    <row r="294" spans="2:7" ht="16" thickBot="1">
      <c r="B294" s="134" t="s">
        <v>379</v>
      </c>
      <c r="C294" s="168"/>
      <c r="D294" s="169"/>
      <c r="E294" s="168"/>
      <c r="F294" s="169"/>
    </row>
    <row r="296" spans="2:7" ht="16">
      <c r="B296" s="283" t="s">
        <v>230</v>
      </c>
      <c r="C296" s="283"/>
      <c r="D296" s="283"/>
      <c r="E296" s="283"/>
      <c r="F296" s="283"/>
      <c r="G296" s="283"/>
    </row>
    <row r="297" spans="2:7">
      <c r="B297" s="161" t="s">
        <v>251</v>
      </c>
      <c r="C297" s="175"/>
      <c r="E297" s="161"/>
      <c r="F297" s="161" t="s">
        <v>250</v>
      </c>
      <c r="G297" s="175"/>
    </row>
    <row r="298" spans="2:7" ht="15">
      <c r="B298" s="151" t="s">
        <v>380</v>
      </c>
      <c r="C298" s="137">
        <f>C269</f>
        <v>3</v>
      </c>
      <c r="E298" s="151"/>
      <c r="F298" s="151" t="s">
        <v>381</v>
      </c>
      <c r="G298" s="137">
        <f>D269</f>
        <v>5</v>
      </c>
    </row>
    <row r="299" spans="2:7" ht="15">
      <c r="B299" s="151" t="s">
        <v>382</v>
      </c>
      <c r="C299" s="137">
        <f>C276</f>
        <v>3</v>
      </c>
      <c r="E299" s="151"/>
      <c r="F299" s="151" t="s">
        <v>312</v>
      </c>
      <c r="G299" s="137">
        <f>D276</f>
        <v>8</v>
      </c>
    </row>
    <row r="300" spans="2:7" ht="15">
      <c r="B300" s="131" t="s">
        <v>383</v>
      </c>
      <c r="C300" s="138">
        <f>SQRT($C$265/C298)</f>
        <v>1.2909944487358056</v>
      </c>
      <c r="E300" s="131"/>
      <c r="F300" s="131" t="s">
        <v>384</v>
      </c>
      <c r="G300" s="138">
        <f>SQRT($C$265/G298)</f>
        <v>1</v>
      </c>
    </row>
    <row r="301" spans="2:7">
      <c r="B301" s="161" t="s">
        <v>233</v>
      </c>
      <c r="C301" s="176">
        <v>0.95</v>
      </c>
      <c r="D301" s="175"/>
      <c r="E301" s="161"/>
      <c r="F301" s="161" t="s">
        <v>233</v>
      </c>
      <c r="G301" s="176">
        <v>0.95</v>
      </c>
    </row>
    <row r="302" spans="2:7" ht="14" thickBot="1">
      <c r="B302" s="151" t="s">
        <v>234</v>
      </c>
      <c r="C302" s="163">
        <f>-NORMSINV((1-C301)/2)</f>
        <v>1.9599639845400536</v>
      </c>
      <c r="D302" s="175"/>
      <c r="E302" s="151"/>
      <c r="F302" s="151" t="s">
        <v>234</v>
      </c>
      <c r="G302" s="163">
        <f>-NORMSINV((1-G301)/2)</f>
        <v>1.9599639845400536</v>
      </c>
    </row>
    <row r="303" spans="2:7">
      <c r="B303" s="177" t="s">
        <v>235</v>
      </c>
      <c r="C303" s="178">
        <f>C300*C302</f>
        <v>2.5303026237633195</v>
      </c>
      <c r="D303" s="175"/>
      <c r="E303" s="177"/>
      <c r="F303" s="190" t="s">
        <v>236</v>
      </c>
      <c r="G303" s="178">
        <f>G300*G302</f>
        <v>1.9599639845400536</v>
      </c>
    </row>
    <row r="304" spans="2:7">
      <c r="B304" s="179" t="s">
        <v>237</v>
      </c>
      <c r="C304" s="180">
        <f>C299+C303</f>
        <v>5.530302623763319</v>
      </c>
      <c r="D304" s="175"/>
      <c r="E304" s="179"/>
      <c r="F304" s="179" t="s">
        <v>237</v>
      </c>
      <c r="G304" s="180">
        <f>G299+G303</f>
        <v>9.9599639845400532</v>
      </c>
    </row>
    <row r="305" spans="1:7" ht="14" thickBot="1">
      <c r="B305" s="181" t="s">
        <v>238</v>
      </c>
      <c r="C305" s="153">
        <f>C299-C303</f>
        <v>0.46969737623668051</v>
      </c>
      <c r="D305" s="175"/>
      <c r="E305" s="181"/>
      <c r="F305" s="181" t="s">
        <v>238</v>
      </c>
      <c r="G305" s="153">
        <f>G299-G303</f>
        <v>6.0400360154599468</v>
      </c>
    </row>
    <row r="306" spans="1:7">
      <c r="B306" s="163"/>
      <c r="C306" s="175"/>
      <c r="D306" s="175"/>
      <c r="E306" s="175"/>
    </row>
    <row r="307" spans="1:7">
      <c r="B307" s="163"/>
      <c r="C307" s="175"/>
      <c r="D307" s="175" t="s">
        <v>239</v>
      </c>
      <c r="E307" s="175"/>
    </row>
    <row r="308" spans="1:7" ht="15">
      <c r="B308" s="163"/>
      <c r="C308" s="175"/>
      <c r="D308" s="151" t="s">
        <v>378</v>
      </c>
      <c r="E308" s="163">
        <f>C292</f>
        <v>5</v>
      </c>
    </row>
    <row r="309" spans="1:7" ht="15">
      <c r="B309" s="163"/>
      <c r="C309" s="175"/>
      <c r="D309" s="122" t="s">
        <v>375</v>
      </c>
      <c r="E309" s="163">
        <f>C286</f>
        <v>1.6329931618554521</v>
      </c>
    </row>
    <row r="310" spans="1:7">
      <c r="B310" s="163"/>
      <c r="C310" s="175"/>
      <c r="D310" s="161" t="s">
        <v>233</v>
      </c>
      <c r="E310" s="176">
        <v>0.95</v>
      </c>
    </row>
    <row r="311" spans="1:7" ht="14" thickBot="1">
      <c r="B311" s="163"/>
      <c r="C311" s="175"/>
      <c r="D311" s="151" t="s">
        <v>234</v>
      </c>
      <c r="E311" s="163">
        <f>-NORMSINV((1-E310)/2)</f>
        <v>1.9599639845400536</v>
      </c>
    </row>
    <row r="312" spans="1:7">
      <c r="B312" s="163"/>
      <c r="C312" s="279" t="s">
        <v>235</v>
      </c>
      <c r="D312" s="280"/>
      <c r="E312" s="178">
        <f>E309*E311</f>
        <v>3.2006077842368725</v>
      </c>
    </row>
    <row r="313" spans="1:7">
      <c r="B313" s="163"/>
      <c r="C313" s="281" t="s">
        <v>237</v>
      </c>
      <c r="D313" s="282"/>
      <c r="E313" s="180">
        <f>E308+E312</f>
        <v>8.2006077842368725</v>
      </c>
    </row>
    <row r="314" spans="1:7" ht="14" thickBot="1">
      <c r="C314" s="277" t="s">
        <v>238</v>
      </c>
      <c r="D314" s="278"/>
      <c r="E314" s="153">
        <f>E308-E312</f>
        <v>1.7993922157631275</v>
      </c>
    </row>
    <row r="315" spans="1:7">
      <c r="D315" s="161"/>
      <c r="E315" s="163"/>
    </row>
    <row r="317" spans="1:7">
      <c r="A317" s="119" t="s">
        <v>252</v>
      </c>
      <c r="B317" s="120" t="s">
        <v>385</v>
      </c>
      <c r="C317" s="136"/>
    </row>
    <row r="318" spans="1:7" ht="15">
      <c r="B318" s="122" t="s">
        <v>198</v>
      </c>
      <c r="C318" s="138">
        <v>3</v>
      </c>
    </row>
    <row r="319" spans="1:7">
      <c r="B319" s="122" t="s">
        <v>277</v>
      </c>
      <c r="C319" s="138">
        <f>SQRT(C318)</f>
        <v>1.7320508075688772</v>
      </c>
    </row>
    <row r="321" spans="2:4">
      <c r="B321" s="126" t="s">
        <v>203</v>
      </c>
    </row>
    <row r="322" spans="2:4" ht="15">
      <c r="B322" s="151" t="s">
        <v>349</v>
      </c>
      <c r="C322" s="142">
        <v>10</v>
      </c>
      <c r="D322" s="142">
        <v>1</v>
      </c>
    </row>
    <row r="323" spans="2:4">
      <c r="C323" s="133" t="s">
        <v>253</v>
      </c>
      <c r="D323" s="133" t="s">
        <v>254</v>
      </c>
    </row>
    <row r="324" spans="2:4" ht="15">
      <c r="B324" s="151" t="s">
        <v>350</v>
      </c>
      <c r="C324" s="142">
        <v>52</v>
      </c>
      <c r="D324" s="142">
        <v>48</v>
      </c>
    </row>
    <row r="326" spans="2:4">
      <c r="B326" s="126" t="s">
        <v>229</v>
      </c>
    </row>
    <row r="327" spans="2:4" ht="15">
      <c r="B327" s="161" t="s">
        <v>280</v>
      </c>
      <c r="C327" s="175" t="s">
        <v>386</v>
      </c>
    </row>
    <row r="328" spans="2:4" ht="15">
      <c r="B328" s="161" t="s">
        <v>282</v>
      </c>
      <c r="C328" s="175" t="s">
        <v>387</v>
      </c>
    </row>
    <row r="329" spans="2:4">
      <c r="B329" s="161"/>
      <c r="C329" s="129"/>
    </row>
    <row r="330" spans="2:4" ht="15">
      <c r="B330" s="167" t="s">
        <v>388</v>
      </c>
    </row>
    <row r="332" spans="2:4" ht="15">
      <c r="B332" s="132" t="s">
        <v>389</v>
      </c>
    </row>
    <row r="333" spans="2:4" ht="15">
      <c r="B333" s="122" t="s">
        <v>390</v>
      </c>
      <c r="C333" s="164">
        <v>0</v>
      </c>
    </row>
    <row r="334" spans="2:4" ht="15">
      <c r="B334" s="122" t="s">
        <v>391</v>
      </c>
      <c r="C334" s="138">
        <f>SQRT(C318/C322+C318/D322)</f>
        <v>1.8165902124584949</v>
      </c>
    </row>
    <row r="336" spans="2:4">
      <c r="B336" s="131" t="s">
        <v>287</v>
      </c>
      <c r="C336" s="165">
        <v>0.01</v>
      </c>
    </row>
    <row r="337" spans="2:7">
      <c r="B337" s="161" t="s">
        <v>219</v>
      </c>
      <c r="C337" s="138">
        <f>-NORMSINV(C336)</f>
        <v>2.3263478740408408</v>
      </c>
    </row>
    <row r="338" spans="2:7" ht="15">
      <c r="B338" s="151" t="s">
        <v>392</v>
      </c>
      <c r="C338" s="138">
        <f>$C$333+$C$337*$C$334</f>
        <v>4.2260207787562187</v>
      </c>
    </row>
    <row r="339" spans="2:7" ht="15">
      <c r="B339" s="151" t="s">
        <v>393</v>
      </c>
      <c r="C339" s="167">
        <f>C324-D324</f>
        <v>4</v>
      </c>
    </row>
    <row r="340" spans="2:7" ht="14" thickBot="1"/>
    <row r="341" spans="2:7" ht="16" thickBot="1">
      <c r="B341" s="134" t="s">
        <v>394</v>
      </c>
      <c r="C341" s="168"/>
      <c r="D341" s="168"/>
      <c r="E341" s="169"/>
      <c r="F341" s="169"/>
    </row>
    <row r="343" spans="2:7" ht="16">
      <c r="B343" s="283" t="s">
        <v>230</v>
      </c>
      <c r="C343" s="283"/>
      <c r="D343" s="283"/>
      <c r="E343" s="283"/>
      <c r="F343" s="283"/>
      <c r="G343" s="283"/>
    </row>
    <row r="344" spans="2:7">
      <c r="B344" s="151" t="s">
        <v>253</v>
      </c>
      <c r="C344" s="175"/>
      <c r="E344" s="161"/>
      <c r="F344" s="151" t="s">
        <v>254</v>
      </c>
      <c r="G344" s="175"/>
    </row>
    <row r="345" spans="2:7" ht="15">
      <c r="B345" s="151" t="s">
        <v>395</v>
      </c>
      <c r="C345" s="137">
        <f>C322</f>
        <v>10</v>
      </c>
      <c r="E345" s="151"/>
      <c r="F345" s="151" t="s">
        <v>344</v>
      </c>
      <c r="G345" s="137">
        <f>D322</f>
        <v>1</v>
      </c>
    </row>
    <row r="346" spans="2:7" ht="15">
      <c r="B346" s="151" t="s">
        <v>396</v>
      </c>
      <c r="C346" s="137">
        <f>C324</f>
        <v>52</v>
      </c>
      <c r="E346" s="151"/>
      <c r="F346" s="151" t="s">
        <v>346</v>
      </c>
      <c r="G346" s="137">
        <f>D324</f>
        <v>48</v>
      </c>
    </row>
    <row r="347" spans="2:7" ht="15">
      <c r="B347" s="131" t="s">
        <v>397</v>
      </c>
      <c r="C347" s="138">
        <f>SQRT($C$318/C345)</f>
        <v>0.54772255750516607</v>
      </c>
      <c r="E347" s="131"/>
      <c r="F347" s="131" t="s">
        <v>347</v>
      </c>
      <c r="G347" s="138">
        <f>SQRT($C$318/G345)</f>
        <v>1.7320508075688772</v>
      </c>
    </row>
    <row r="348" spans="2:7">
      <c r="B348" s="161" t="s">
        <v>233</v>
      </c>
      <c r="C348" s="176">
        <v>0.95</v>
      </c>
      <c r="D348" s="175"/>
      <c r="E348" s="161"/>
      <c r="F348" s="161" t="s">
        <v>233</v>
      </c>
      <c r="G348" s="176">
        <v>0.95</v>
      </c>
    </row>
    <row r="349" spans="2:7" ht="14" thickBot="1">
      <c r="B349" s="151" t="s">
        <v>234</v>
      </c>
      <c r="C349" s="163">
        <f>-NORMSINV((1-C348)/2)</f>
        <v>1.9599639845400536</v>
      </c>
      <c r="D349" s="175"/>
      <c r="E349" s="151"/>
      <c r="F349" s="151" t="s">
        <v>234</v>
      </c>
      <c r="G349" s="163">
        <f>-NORMSINV((1-G348)/2)</f>
        <v>1.9599639845400536</v>
      </c>
    </row>
    <row r="350" spans="2:7">
      <c r="B350" s="177" t="s">
        <v>235</v>
      </c>
      <c r="C350" s="178">
        <f>C347*C349</f>
        <v>1.0735164862302939</v>
      </c>
      <c r="D350" s="175"/>
      <c r="E350" s="279" t="s">
        <v>236</v>
      </c>
      <c r="F350" s="280"/>
      <c r="G350" s="178">
        <f>G347*G349</f>
        <v>3.3947572022285142</v>
      </c>
    </row>
    <row r="351" spans="2:7">
      <c r="B351" s="179" t="s">
        <v>237</v>
      </c>
      <c r="C351" s="180">
        <f>C346+C350</f>
        <v>53.073516486230297</v>
      </c>
      <c r="D351" s="175"/>
      <c r="E351" s="281" t="s">
        <v>237</v>
      </c>
      <c r="F351" s="282"/>
      <c r="G351" s="180">
        <f>G346+G350</f>
        <v>51.394757202228512</v>
      </c>
    </row>
    <row r="352" spans="2:7" ht="14" thickBot="1">
      <c r="B352" s="181" t="s">
        <v>238</v>
      </c>
      <c r="C352" s="153">
        <f>C346-C350</f>
        <v>50.926483513769703</v>
      </c>
      <c r="D352" s="175"/>
      <c r="E352" s="277" t="s">
        <v>238</v>
      </c>
      <c r="F352" s="278"/>
      <c r="G352" s="153">
        <f>G346-G350</f>
        <v>44.605242797771488</v>
      </c>
    </row>
    <row r="353" spans="1:5">
      <c r="B353" s="163"/>
      <c r="C353" s="175"/>
      <c r="D353" s="175"/>
      <c r="E353" s="175"/>
    </row>
    <row r="354" spans="1:5">
      <c r="B354" s="163"/>
      <c r="C354" s="175"/>
      <c r="D354" s="175" t="s">
        <v>239</v>
      </c>
      <c r="E354" s="175"/>
    </row>
    <row r="355" spans="1:5" ht="15">
      <c r="B355" s="163"/>
      <c r="C355" s="175"/>
      <c r="D355" s="151" t="s">
        <v>393</v>
      </c>
      <c r="E355" s="163">
        <f>C339</f>
        <v>4</v>
      </c>
    </row>
    <row r="356" spans="1:5" ht="15">
      <c r="B356" s="163"/>
      <c r="C356" s="175"/>
      <c r="D356" s="122" t="s">
        <v>391</v>
      </c>
      <c r="E356" s="163">
        <f>C334</f>
        <v>1.8165902124584949</v>
      </c>
    </row>
    <row r="357" spans="1:5">
      <c r="B357" s="163"/>
      <c r="C357" s="175"/>
      <c r="D357" s="161" t="s">
        <v>233</v>
      </c>
      <c r="E357" s="176">
        <v>0.95</v>
      </c>
    </row>
    <row r="358" spans="1:5" ht="14" thickBot="1">
      <c r="B358" s="163"/>
      <c r="C358" s="175"/>
      <c r="D358" s="151" t="s">
        <v>234</v>
      </c>
      <c r="E358" s="163">
        <f>-NORMSINV((1-E357)/2)</f>
        <v>1.9599639845400536</v>
      </c>
    </row>
    <row r="359" spans="1:5">
      <c r="B359" s="163"/>
      <c r="C359" s="279" t="s">
        <v>235</v>
      </c>
      <c r="D359" s="280"/>
      <c r="E359" s="178">
        <f>E356*E358</f>
        <v>3.5604513910866142</v>
      </c>
    </row>
    <row r="360" spans="1:5">
      <c r="B360" s="163"/>
      <c r="C360" s="281" t="s">
        <v>237</v>
      </c>
      <c r="D360" s="282"/>
      <c r="E360" s="180">
        <f>E355+E359</f>
        <v>7.5604513910866142</v>
      </c>
    </row>
    <row r="361" spans="1:5" ht="14" thickBot="1">
      <c r="C361" s="277" t="s">
        <v>238</v>
      </c>
      <c r="D361" s="278"/>
      <c r="E361" s="153">
        <f>E355-E359</f>
        <v>0.43954860891338576</v>
      </c>
    </row>
    <row r="364" spans="1:5">
      <c r="A364" s="119" t="s">
        <v>255</v>
      </c>
      <c r="B364" s="120" t="s">
        <v>398</v>
      </c>
      <c r="C364" s="136"/>
    </row>
    <row r="365" spans="1:5">
      <c r="A365" s="119"/>
      <c r="B365" s="122" t="s">
        <v>276</v>
      </c>
      <c r="C365" s="137">
        <v>75</v>
      </c>
    </row>
    <row r="366" spans="1:5" ht="15">
      <c r="B366" s="122" t="s">
        <v>198</v>
      </c>
      <c r="C366" s="137">
        <f>C367^2</f>
        <v>225</v>
      </c>
    </row>
    <row r="367" spans="1:5">
      <c r="B367" s="122" t="s">
        <v>277</v>
      </c>
      <c r="C367" s="137">
        <v>15</v>
      </c>
    </row>
    <row r="369" spans="1:3">
      <c r="A369" s="121" t="s">
        <v>186</v>
      </c>
      <c r="B369" s="132" t="s">
        <v>256</v>
      </c>
      <c r="C369" s="137">
        <v>36</v>
      </c>
    </row>
    <row r="371" spans="1:3" ht="15">
      <c r="B371" s="122" t="s">
        <v>399</v>
      </c>
      <c r="C371" s="137">
        <f>C365</f>
        <v>75</v>
      </c>
    </row>
    <row r="372" spans="1:3" ht="15">
      <c r="B372" s="122" t="s">
        <v>286</v>
      </c>
      <c r="C372" s="170">
        <f>C367/SQRT(C369)</f>
        <v>2.5</v>
      </c>
    </row>
    <row r="386" spans="1:8" ht="14" thickBot="1"/>
    <row r="387" spans="1:8" ht="15">
      <c r="B387" s="139" t="s">
        <v>109</v>
      </c>
      <c r="C387" s="139" t="s">
        <v>110</v>
      </c>
      <c r="D387" s="140" t="s">
        <v>111</v>
      </c>
      <c r="E387" s="139" t="s">
        <v>112</v>
      </c>
      <c r="F387" s="140" t="s">
        <v>273</v>
      </c>
      <c r="G387" s="140" t="s">
        <v>274</v>
      </c>
      <c r="H387" s="191" t="s">
        <v>275</v>
      </c>
    </row>
    <row r="388" spans="1:8">
      <c r="A388" s="121" t="s">
        <v>188</v>
      </c>
      <c r="B388" s="142">
        <v>80</v>
      </c>
      <c r="C388" s="192" t="s">
        <v>257</v>
      </c>
      <c r="D388" s="145">
        <f>(B388-$C$371)/$C$372</f>
        <v>2</v>
      </c>
      <c r="E388" s="192" t="s">
        <v>257</v>
      </c>
      <c r="F388" s="145">
        <f>NORMSDIST(D388)</f>
        <v>0.97724986805182079</v>
      </c>
      <c r="G388" s="145">
        <v>1</v>
      </c>
      <c r="H388" s="147">
        <f>G388-F388</f>
        <v>2.2750131948179209E-2</v>
      </c>
    </row>
    <row r="389" spans="1:8" ht="14" thickBot="1">
      <c r="A389" s="121" t="s">
        <v>258</v>
      </c>
      <c r="B389" s="192" t="s">
        <v>259</v>
      </c>
      <c r="C389" s="142">
        <v>70</v>
      </c>
      <c r="D389" s="192" t="s">
        <v>259</v>
      </c>
      <c r="E389" s="145">
        <f t="shared" ref="E389" si="9">(C389-$C$371)/$C$372</f>
        <v>-2</v>
      </c>
      <c r="F389" s="145">
        <v>0</v>
      </c>
      <c r="G389" s="145">
        <f>NORMSDIST(E389)</f>
        <v>2.2750131948179191E-2</v>
      </c>
      <c r="H389" s="150">
        <f>G389-F389</f>
        <v>2.2750131948179191E-2</v>
      </c>
    </row>
    <row r="390" spans="1:8">
      <c r="B390" s="192"/>
      <c r="C390" s="142"/>
      <c r="D390" s="192"/>
      <c r="E390" s="145"/>
      <c r="F390" s="145"/>
      <c r="G390" s="145"/>
      <c r="H390" s="157"/>
    </row>
    <row r="391" spans="1:8">
      <c r="B391" s="136"/>
    </row>
    <row r="392" spans="1:8">
      <c r="A392" s="119" t="s">
        <v>260</v>
      </c>
      <c r="B392" s="120" t="s">
        <v>261</v>
      </c>
    </row>
    <row r="393" spans="1:8">
      <c r="A393" s="119"/>
      <c r="B393" s="132" t="s">
        <v>262</v>
      </c>
    </row>
    <row r="394" spans="1:8">
      <c r="A394" s="119"/>
      <c r="B394" s="136"/>
    </row>
    <row r="395" spans="1:8" ht="14" thickBot="1">
      <c r="B395" s="151" t="s">
        <v>263</v>
      </c>
      <c r="C395" s="142">
        <v>3</v>
      </c>
      <c r="D395" s="142">
        <v>6</v>
      </c>
      <c r="E395" s="142">
        <v>8</v>
      </c>
      <c r="F395" s="142">
        <v>11</v>
      </c>
      <c r="G395" s="142">
        <v>15</v>
      </c>
    </row>
    <row r="396" spans="1:8">
      <c r="A396" s="121" t="s">
        <v>264</v>
      </c>
      <c r="B396" s="190" t="s">
        <v>265</v>
      </c>
      <c r="C396" s="178">
        <f>AVERAGE(C395:G395)</f>
        <v>8.6</v>
      </c>
    </row>
    <row r="397" spans="1:8">
      <c r="B397" s="179" t="s">
        <v>266</v>
      </c>
      <c r="C397" s="180">
        <f>STDEVP(C395:G395)</f>
        <v>4.1279534881100588</v>
      </c>
    </row>
    <row r="398" spans="1:8" ht="16" thickBot="1">
      <c r="B398" s="181" t="s">
        <v>400</v>
      </c>
      <c r="C398" s="153">
        <f>C397^2</f>
        <v>17.040000000000003</v>
      </c>
    </row>
    <row r="399" spans="1:8">
      <c r="B399" s="161"/>
      <c r="C399" s="163"/>
    </row>
    <row r="400" spans="1:8">
      <c r="A400" s="121" t="s">
        <v>267</v>
      </c>
      <c r="B400" s="120" t="s">
        <v>268</v>
      </c>
      <c r="D400" s="133" t="s">
        <v>269</v>
      </c>
    </row>
    <row r="401" spans="2:4">
      <c r="B401" s="142">
        <v>3</v>
      </c>
      <c r="C401" s="142">
        <v>3</v>
      </c>
      <c r="D401" s="188">
        <f>AVERAGE(B401:C401)</f>
        <v>3</v>
      </c>
    </row>
    <row r="402" spans="2:4">
      <c r="B402" s="142">
        <v>3</v>
      </c>
      <c r="C402" s="142">
        <v>6</v>
      </c>
      <c r="D402" s="188">
        <f t="shared" ref="D402:D425" si="10">AVERAGE(B402:C402)</f>
        <v>4.5</v>
      </c>
    </row>
    <row r="403" spans="2:4">
      <c r="B403" s="142">
        <v>3</v>
      </c>
      <c r="C403" s="142">
        <v>8</v>
      </c>
      <c r="D403" s="188">
        <f t="shared" si="10"/>
        <v>5.5</v>
      </c>
    </row>
    <row r="404" spans="2:4">
      <c r="B404" s="142">
        <v>3</v>
      </c>
      <c r="C404" s="142">
        <v>11</v>
      </c>
      <c r="D404" s="188">
        <f t="shared" si="10"/>
        <v>7</v>
      </c>
    </row>
    <row r="405" spans="2:4">
      <c r="B405" s="142">
        <v>3</v>
      </c>
      <c r="C405" s="142">
        <v>15</v>
      </c>
      <c r="D405" s="188">
        <f t="shared" si="10"/>
        <v>9</v>
      </c>
    </row>
    <row r="406" spans="2:4">
      <c r="B406" s="142">
        <v>6</v>
      </c>
      <c r="C406" s="142">
        <v>3</v>
      </c>
      <c r="D406" s="188">
        <f t="shared" si="10"/>
        <v>4.5</v>
      </c>
    </row>
    <row r="407" spans="2:4">
      <c r="B407" s="142">
        <v>6</v>
      </c>
      <c r="C407" s="142">
        <v>6</v>
      </c>
      <c r="D407" s="188">
        <f t="shared" si="10"/>
        <v>6</v>
      </c>
    </row>
    <row r="408" spans="2:4">
      <c r="B408" s="142">
        <v>6</v>
      </c>
      <c r="C408" s="142">
        <v>8</v>
      </c>
      <c r="D408" s="188">
        <f t="shared" si="10"/>
        <v>7</v>
      </c>
    </row>
    <row r="409" spans="2:4">
      <c r="B409" s="142">
        <v>6</v>
      </c>
      <c r="C409" s="142">
        <v>11</v>
      </c>
      <c r="D409" s="188">
        <f t="shared" si="10"/>
        <v>8.5</v>
      </c>
    </row>
    <row r="410" spans="2:4">
      <c r="B410" s="142">
        <v>6</v>
      </c>
      <c r="C410" s="142">
        <v>15</v>
      </c>
      <c r="D410" s="188">
        <f t="shared" si="10"/>
        <v>10.5</v>
      </c>
    </row>
    <row r="411" spans="2:4">
      <c r="B411" s="142">
        <v>8</v>
      </c>
      <c r="C411" s="142">
        <v>3</v>
      </c>
      <c r="D411" s="188">
        <f t="shared" si="10"/>
        <v>5.5</v>
      </c>
    </row>
    <row r="412" spans="2:4">
      <c r="B412" s="142">
        <v>8</v>
      </c>
      <c r="C412" s="142">
        <v>6</v>
      </c>
      <c r="D412" s="188">
        <f t="shared" si="10"/>
        <v>7</v>
      </c>
    </row>
    <row r="413" spans="2:4">
      <c r="B413" s="142">
        <v>8</v>
      </c>
      <c r="C413" s="142">
        <v>8</v>
      </c>
      <c r="D413" s="188">
        <f t="shared" si="10"/>
        <v>8</v>
      </c>
    </row>
    <row r="414" spans="2:4">
      <c r="B414" s="142">
        <v>8</v>
      </c>
      <c r="C414" s="142">
        <v>11</v>
      </c>
      <c r="D414" s="188">
        <f t="shared" si="10"/>
        <v>9.5</v>
      </c>
    </row>
    <row r="415" spans="2:4">
      <c r="B415" s="142">
        <v>8</v>
      </c>
      <c r="C415" s="142">
        <v>15</v>
      </c>
      <c r="D415" s="188">
        <f t="shared" si="10"/>
        <v>11.5</v>
      </c>
    </row>
    <row r="416" spans="2:4">
      <c r="B416" s="142">
        <v>11</v>
      </c>
      <c r="C416" s="142">
        <v>3</v>
      </c>
      <c r="D416" s="188">
        <f t="shared" si="10"/>
        <v>7</v>
      </c>
    </row>
    <row r="417" spans="1:7">
      <c r="B417" s="142">
        <v>11</v>
      </c>
      <c r="C417" s="142">
        <v>6</v>
      </c>
      <c r="D417" s="188">
        <f t="shared" si="10"/>
        <v>8.5</v>
      </c>
    </row>
    <row r="418" spans="1:7">
      <c r="B418" s="142">
        <v>11</v>
      </c>
      <c r="C418" s="142">
        <v>8</v>
      </c>
      <c r="D418" s="188">
        <f t="shared" si="10"/>
        <v>9.5</v>
      </c>
    </row>
    <row r="419" spans="1:7">
      <c r="B419" s="142">
        <v>11</v>
      </c>
      <c r="C419" s="142">
        <v>11</v>
      </c>
      <c r="D419" s="188">
        <f t="shared" si="10"/>
        <v>11</v>
      </c>
    </row>
    <row r="420" spans="1:7">
      <c r="B420" s="142">
        <v>11</v>
      </c>
      <c r="C420" s="142">
        <v>15</v>
      </c>
      <c r="D420" s="188">
        <f t="shared" si="10"/>
        <v>13</v>
      </c>
    </row>
    <row r="421" spans="1:7">
      <c r="B421" s="142">
        <v>15</v>
      </c>
      <c r="C421" s="142">
        <v>3</v>
      </c>
      <c r="D421" s="188">
        <f t="shared" si="10"/>
        <v>9</v>
      </c>
    </row>
    <row r="422" spans="1:7">
      <c r="B422" s="142">
        <v>15</v>
      </c>
      <c r="C422" s="142">
        <v>6</v>
      </c>
      <c r="D422" s="188">
        <f t="shared" si="10"/>
        <v>10.5</v>
      </c>
    </row>
    <row r="423" spans="1:7">
      <c r="B423" s="142">
        <v>15</v>
      </c>
      <c r="C423" s="142">
        <v>8</v>
      </c>
      <c r="D423" s="188">
        <f t="shared" si="10"/>
        <v>11.5</v>
      </c>
    </row>
    <row r="424" spans="1:7">
      <c r="B424" s="142">
        <v>15</v>
      </c>
      <c r="C424" s="142">
        <v>11</v>
      </c>
      <c r="D424" s="188">
        <f t="shared" si="10"/>
        <v>13</v>
      </c>
    </row>
    <row r="425" spans="1:7">
      <c r="B425" s="142">
        <v>15</v>
      </c>
      <c r="C425" s="142">
        <v>15</v>
      </c>
      <c r="D425" s="188">
        <f t="shared" si="10"/>
        <v>15</v>
      </c>
    </row>
    <row r="426" spans="1:7" ht="14" thickBot="1"/>
    <row r="427" spans="1:7" ht="16" thickBot="1">
      <c r="A427" s="121" t="s">
        <v>270</v>
      </c>
      <c r="B427" s="190" t="s">
        <v>401</v>
      </c>
      <c r="C427" s="178">
        <f>AVERAGE(D401:D425)</f>
        <v>8.6</v>
      </c>
    </row>
    <row r="428" spans="1:7" ht="15">
      <c r="A428" s="121" t="s">
        <v>271</v>
      </c>
      <c r="B428" s="190" t="s">
        <v>402</v>
      </c>
      <c r="C428" s="178">
        <f>STDEVP(D401:D425)</f>
        <v>2.9189039038652846</v>
      </c>
    </row>
    <row r="429" spans="1:7" ht="16" thickBot="1">
      <c r="B429" s="181" t="s">
        <v>403</v>
      </c>
      <c r="C429" s="153">
        <f>C428^2</f>
        <v>8.52</v>
      </c>
    </row>
    <row r="430" spans="1:7" ht="14" thickBot="1"/>
    <row r="431" spans="1:7" ht="15">
      <c r="B431" s="279" t="s">
        <v>404</v>
      </c>
      <c r="C431" s="280"/>
      <c r="D431" s="193">
        <f>C398/C429</f>
        <v>2.0000000000000004</v>
      </c>
      <c r="E431" s="194"/>
      <c r="F431" s="194"/>
      <c r="G431" s="195"/>
    </row>
    <row r="432" spans="1:7" ht="16" thickBot="1">
      <c r="B432" s="277" t="s">
        <v>405</v>
      </c>
      <c r="C432" s="278"/>
      <c r="D432" s="196">
        <f>C397/C428</f>
        <v>1.4142135623730951</v>
      </c>
      <c r="E432" s="197" t="s">
        <v>272</v>
      </c>
      <c r="F432" s="197"/>
      <c r="G432" s="198"/>
    </row>
  </sheetData>
  <mergeCells count="18">
    <mergeCell ref="B296:G296"/>
    <mergeCell ref="B190:G190"/>
    <mergeCell ref="B243:G243"/>
    <mergeCell ref="C259:D259"/>
    <mergeCell ref="C260:D260"/>
    <mergeCell ref="C261:D261"/>
    <mergeCell ref="B432:C432"/>
    <mergeCell ref="C312:D312"/>
    <mergeCell ref="C313:D313"/>
    <mergeCell ref="C314:D314"/>
    <mergeCell ref="B343:G343"/>
    <mergeCell ref="E350:F350"/>
    <mergeCell ref="E351:F351"/>
    <mergeCell ref="E352:F352"/>
    <mergeCell ref="C359:D359"/>
    <mergeCell ref="C360:D360"/>
    <mergeCell ref="C361:D361"/>
    <mergeCell ref="B431:C43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topLeftCell="A219" zoomScale="125" zoomScaleNormal="125" zoomScalePageLayoutView="125" workbookViewId="0">
      <selection activeCell="H239" sqref="H239"/>
    </sheetView>
  </sheetViews>
  <sheetFormatPr baseColWidth="10" defaultRowHeight="13" x14ac:dyDescent="0"/>
  <cols>
    <col min="1" max="1" width="13.28515625" style="203" customWidth="1"/>
    <col min="2" max="12" width="13.28515625" style="12" customWidth="1"/>
    <col min="13" max="16" width="10.140625" style="12" customWidth="1"/>
    <col min="17" max="17" width="7.7109375" style="12" customWidth="1"/>
    <col min="18" max="16384" width="10.7109375" style="12"/>
  </cols>
  <sheetData>
    <row r="1" spans="1:4">
      <c r="A1" s="199" t="s">
        <v>406</v>
      </c>
      <c r="B1" s="200" t="s">
        <v>407</v>
      </c>
      <c r="C1" s="201"/>
      <c r="D1" s="202"/>
    </row>
    <row r="2" spans="1:4">
      <c r="B2" s="204" t="s">
        <v>180</v>
      </c>
      <c r="C2" s="205">
        <v>250</v>
      </c>
      <c r="D2" s="202"/>
    </row>
    <row r="3" spans="1:4">
      <c r="B3" s="204" t="s">
        <v>181</v>
      </c>
      <c r="C3" s="205">
        <v>400</v>
      </c>
      <c r="D3" s="202"/>
    </row>
    <row r="4" spans="1:4">
      <c r="B4" s="204" t="s">
        <v>182</v>
      </c>
      <c r="C4" s="205">
        <v>20</v>
      </c>
      <c r="D4" s="202"/>
    </row>
    <row r="5" spans="1:4">
      <c r="B5" s="206"/>
      <c r="C5" s="202"/>
      <c r="D5" s="202"/>
    </row>
    <row r="6" spans="1:4">
      <c r="B6" s="207" t="s">
        <v>408</v>
      </c>
      <c r="C6" s="202"/>
      <c r="D6" s="202"/>
    </row>
    <row r="7" spans="1:4">
      <c r="B7" s="208" t="s">
        <v>409</v>
      </c>
      <c r="C7" s="209">
        <v>2</v>
      </c>
      <c r="D7" s="202"/>
    </row>
    <row r="8" spans="1:4">
      <c r="B8" s="207"/>
      <c r="C8" s="202"/>
      <c r="D8" s="202"/>
    </row>
    <row r="9" spans="1:4" ht="15">
      <c r="B9" s="210" t="s">
        <v>410</v>
      </c>
      <c r="C9" s="211">
        <v>250</v>
      </c>
      <c r="D9" s="202"/>
    </row>
    <row r="10" spans="1:4">
      <c r="B10" s="202"/>
      <c r="C10" s="202"/>
      <c r="D10" s="202"/>
    </row>
    <row r="11" spans="1:4" ht="15">
      <c r="B11" s="212" t="s">
        <v>208</v>
      </c>
      <c r="C11" s="212"/>
      <c r="D11" s="202"/>
    </row>
    <row r="12" spans="1:4">
      <c r="B12" s="202"/>
      <c r="C12" s="202"/>
      <c r="D12" s="202"/>
    </row>
    <row r="13" spans="1:4" ht="15">
      <c r="A13" s="213"/>
      <c r="B13" s="202" t="s">
        <v>209</v>
      </c>
      <c r="C13" s="202"/>
      <c r="D13" s="202"/>
    </row>
    <row r="14" spans="1:4">
      <c r="B14" s="204" t="s">
        <v>197</v>
      </c>
      <c r="C14" s="211">
        <f>C2</f>
        <v>250</v>
      </c>
      <c r="D14" s="202"/>
    </row>
    <row r="15" spans="1:4" ht="15">
      <c r="B15" s="214" t="s">
        <v>210</v>
      </c>
      <c r="C15" s="215">
        <f>C4/SQRT(C7)</f>
        <v>14.142135623730949</v>
      </c>
      <c r="D15" s="202"/>
    </row>
    <row r="16" spans="1:4">
      <c r="B16" s="214"/>
      <c r="C16" s="215"/>
      <c r="D16" s="202"/>
    </row>
    <row r="17" spans="2:4" s="12" customFormat="1">
      <c r="B17" s="214" t="s">
        <v>211</v>
      </c>
      <c r="C17" s="42">
        <v>0.05</v>
      </c>
      <c r="D17" s="202"/>
    </row>
    <row r="18" spans="2:4" s="12" customFormat="1">
      <c r="B18" s="216" t="s">
        <v>411</v>
      </c>
      <c r="C18" s="42">
        <f>-NORMSINV(C17)</f>
        <v>1.6448536269514726</v>
      </c>
      <c r="D18" s="202"/>
    </row>
    <row r="19" spans="2:4" s="12" customFormat="1" ht="15">
      <c r="B19" s="210" t="s">
        <v>214</v>
      </c>
      <c r="C19" s="215">
        <f>C14-C18*C15</f>
        <v>226.73825692646653</v>
      </c>
      <c r="D19" s="202" t="s">
        <v>215</v>
      </c>
    </row>
    <row r="20" spans="2:4" s="12" customFormat="1">
      <c r="B20" s="210"/>
      <c r="C20" s="215"/>
      <c r="D20" s="202"/>
    </row>
    <row r="21" spans="2:4" s="12" customFormat="1">
      <c r="B21" s="210"/>
      <c r="C21" s="215"/>
      <c r="D21" s="202"/>
    </row>
    <row r="22" spans="2:4" s="12" customFormat="1">
      <c r="B22" s="210"/>
      <c r="C22" s="215"/>
      <c r="D22" s="202"/>
    </row>
    <row r="23" spans="2:4" s="12" customFormat="1">
      <c r="B23" s="210"/>
      <c r="C23" s="215"/>
      <c r="D23" s="202"/>
    </row>
    <row r="24" spans="2:4" s="12" customFormat="1">
      <c r="B24" s="210"/>
      <c r="C24" s="215"/>
      <c r="D24" s="202"/>
    </row>
    <row r="25" spans="2:4" s="12" customFormat="1">
      <c r="B25" s="210"/>
      <c r="C25" s="215"/>
      <c r="D25" s="202"/>
    </row>
    <row r="26" spans="2:4" s="12" customFormat="1">
      <c r="B26" s="210"/>
      <c r="C26" s="215"/>
      <c r="D26" s="202"/>
    </row>
    <row r="27" spans="2:4" s="12" customFormat="1">
      <c r="B27" s="210"/>
      <c r="C27" s="215"/>
      <c r="D27" s="202"/>
    </row>
    <row r="28" spans="2:4" s="12" customFormat="1">
      <c r="B28" s="210"/>
      <c r="C28" s="215"/>
      <c r="D28" s="202"/>
    </row>
    <row r="29" spans="2:4" s="12" customFormat="1">
      <c r="B29" s="210"/>
      <c r="C29" s="215"/>
      <c r="D29" s="202"/>
    </row>
    <row r="35" spans="1:9" ht="15">
      <c r="A35" s="203" t="s">
        <v>412</v>
      </c>
      <c r="B35" s="210" t="s">
        <v>413</v>
      </c>
      <c r="C35" s="211">
        <v>245</v>
      </c>
    </row>
    <row r="36" spans="1:9">
      <c r="B36" s="210"/>
      <c r="C36" s="211"/>
      <c r="F36" s="212"/>
      <c r="G36" s="217"/>
      <c r="H36" s="217"/>
      <c r="I36" s="217"/>
    </row>
    <row r="37" spans="1:9" ht="15">
      <c r="B37" s="202" t="s">
        <v>414</v>
      </c>
      <c r="C37" s="202"/>
      <c r="F37" s="215"/>
    </row>
    <row r="38" spans="1:9">
      <c r="B38" s="204" t="s">
        <v>197</v>
      </c>
      <c r="C38" s="211">
        <f>C35</f>
        <v>245</v>
      </c>
      <c r="F38" s="215"/>
    </row>
    <row r="39" spans="1:9" ht="15">
      <c r="B39" s="214" t="s">
        <v>210</v>
      </c>
      <c r="C39" s="215">
        <f>$C$15</f>
        <v>14.142135623730949</v>
      </c>
      <c r="F39" s="215"/>
    </row>
    <row r="42" spans="1:9">
      <c r="E42" s="218"/>
      <c r="F42" s="219" t="s">
        <v>415</v>
      </c>
    </row>
    <row r="43" spans="1:9" ht="15">
      <c r="F43" s="210" t="s">
        <v>416</v>
      </c>
      <c r="G43" s="220" t="s">
        <v>417</v>
      </c>
    </row>
    <row r="44" spans="1:9" ht="15">
      <c r="F44" s="210" t="s">
        <v>418</v>
      </c>
      <c r="G44" s="215">
        <f>(C19-C35)/C39</f>
        <v>-1.291300236358198</v>
      </c>
    </row>
    <row r="45" spans="1:9" ht="15">
      <c r="F45" s="210" t="s">
        <v>419</v>
      </c>
      <c r="G45" s="215">
        <v>0</v>
      </c>
    </row>
    <row r="46" spans="1:9" ht="16" thickBot="1">
      <c r="F46" s="210" t="s">
        <v>420</v>
      </c>
      <c r="G46" s="215">
        <f>NORMSDIST(G44)</f>
        <v>9.8299794357987094E-2</v>
      </c>
    </row>
    <row r="47" spans="1:9" ht="15">
      <c r="E47" s="221"/>
      <c r="F47" s="222" t="s">
        <v>421</v>
      </c>
      <c r="G47" s="223">
        <f>G46-G45</f>
        <v>9.8299794357987094E-2</v>
      </c>
    </row>
    <row r="48" spans="1:9" ht="14" thickBot="1">
      <c r="E48" s="224"/>
      <c r="F48" s="225" t="s">
        <v>422</v>
      </c>
      <c r="G48" s="226">
        <f>1-G47</f>
        <v>0.90170020564201292</v>
      </c>
    </row>
    <row r="49" spans="1:7">
      <c r="A49" s="213"/>
    </row>
    <row r="50" spans="1:7">
      <c r="C50" s="91"/>
    </row>
    <row r="54" spans="1:7" ht="15">
      <c r="A54" s="203" t="s">
        <v>423</v>
      </c>
      <c r="B54" s="210" t="s">
        <v>413</v>
      </c>
      <c r="C54" s="211">
        <v>230</v>
      </c>
    </row>
    <row r="55" spans="1:7">
      <c r="B55" s="210"/>
      <c r="C55" s="211"/>
    </row>
    <row r="56" spans="1:7" ht="15">
      <c r="B56" s="202" t="s">
        <v>414</v>
      </c>
      <c r="C56" s="202"/>
    </row>
    <row r="57" spans="1:7">
      <c r="B57" s="204" t="s">
        <v>197</v>
      </c>
      <c r="C57" s="211">
        <f>C54</f>
        <v>230</v>
      </c>
    </row>
    <row r="58" spans="1:7" ht="15">
      <c r="B58" s="214" t="s">
        <v>210</v>
      </c>
      <c r="C58" s="215">
        <f>$C$15</f>
        <v>14.142135623730949</v>
      </c>
    </row>
    <row r="61" spans="1:7">
      <c r="C61" s="91"/>
      <c r="E61" s="227"/>
      <c r="F61" s="219" t="s">
        <v>415</v>
      </c>
    </row>
    <row r="62" spans="1:7" ht="15">
      <c r="F62" s="210" t="s">
        <v>416</v>
      </c>
      <c r="G62" s="220" t="s">
        <v>417</v>
      </c>
    </row>
    <row r="63" spans="1:7" ht="15">
      <c r="F63" s="210" t="s">
        <v>418</v>
      </c>
      <c r="G63" s="215">
        <f>(C19-C57)/C58</f>
        <v>-0.2306400645783766</v>
      </c>
    </row>
    <row r="64" spans="1:7" ht="15">
      <c r="F64" s="210" t="s">
        <v>419</v>
      </c>
      <c r="G64" s="215">
        <v>0</v>
      </c>
    </row>
    <row r="65" spans="1:7" ht="16" thickBot="1">
      <c r="F65" s="210" t="s">
        <v>420</v>
      </c>
      <c r="G65" s="215">
        <f>NORMSDIST(G63)</f>
        <v>0.40879721979387079</v>
      </c>
    </row>
    <row r="66" spans="1:7" ht="15">
      <c r="E66" s="228"/>
      <c r="F66" s="222" t="s">
        <v>421</v>
      </c>
      <c r="G66" s="223">
        <f>G65-G64</f>
        <v>0.40879721979387079</v>
      </c>
    </row>
    <row r="67" spans="1:7" ht="14" thickBot="1">
      <c r="E67" s="224"/>
      <c r="F67" s="225" t="s">
        <v>422</v>
      </c>
      <c r="G67" s="226">
        <f>1-G66</f>
        <v>0.59120278020612926</v>
      </c>
    </row>
    <row r="74" spans="1:7">
      <c r="A74" s="199" t="s">
        <v>424</v>
      </c>
      <c r="B74" s="200" t="s">
        <v>425</v>
      </c>
      <c r="C74" s="201"/>
    </row>
    <row r="75" spans="1:7" ht="15">
      <c r="B75" s="204" t="s">
        <v>198</v>
      </c>
      <c r="C75" s="128">
        <f>C76^2</f>
        <v>4</v>
      </c>
    </row>
    <row r="76" spans="1:7">
      <c r="B76" s="204" t="s">
        <v>199</v>
      </c>
      <c r="C76" s="128">
        <v>2</v>
      </c>
    </row>
    <row r="77" spans="1:7">
      <c r="C77" s="91"/>
    </row>
    <row r="78" spans="1:7">
      <c r="B78" s="207" t="s">
        <v>426</v>
      </c>
      <c r="C78" s="202"/>
      <c r="D78" s="202"/>
    </row>
    <row r="79" spans="1:7" ht="15">
      <c r="B79" s="229" t="s">
        <v>241</v>
      </c>
      <c r="C79" s="58">
        <v>10</v>
      </c>
      <c r="D79" s="58">
        <v>6</v>
      </c>
    </row>
    <row r="80" spans="1:7">
      <c r="B80" s="202"/>
      <c r="C80" s="230" t="s">
        <v>427</v>
      </c>
      <c r="D80" s="230" t="s">
        <v>428</v>
      </c>
    </row>
    <row r="81" spans="1:6" ht="15">
      <c r="B81" s="229" t="s">
        <v>244</v>
      </c>
      <c r="C81" s="231">
        <v>15.5</v>
      </c>
      <c r="D81" s="231">
        <v>14</v>
      </c>
    </row>
    <row r="82" spans="1:6">
      <c r="B82" s="202"/>
      <c r="C82" s="202"/>
      <c r="D82" s="202"/>
    </row>
    <row r="83" spans="1:6">
      <c r="A83" s="203" t="s">
        <v>429</v>
      </c>
      <c r="B83" s="207" t="s">
        <v>430</v>
      </c>
      <c r="C83" s="202"/>
      <c r="D83" s="202"/>
    </row>
    <row r="84" spans="1:6" ht="15">
      <c r="B84" s="232" t="s">
        <v>27</v>
      </c>
      <c r="C84" s="233" t="s">
        <v>431</v>
      </c>
      <c r="D84" s="202"/>
    </row>
    <row r="85" spans="1:6" ht="15">
      <c r="B85" s="232" t="s">
        <v>29</v>
      </c>
      <c r="C85" s="233" t="s">
        <v>432</v>
      </c>
      <c r="D85" s="202"/>
    </row>
    <row r="86" spans="1:6">
      <c r="B86" s="232"/>
      <c r="C86" s="234"/>
      <c r="D86" s="202"/>
    </row>
    <row r="87" spans="1:6" ht="15">
      <c r="B87" s="235" t="s">
        <v>433</v>
      </c>
      <c r="C87" s="202"/>
      <c r="D87" s="202"/>
    </row>
    <row r="88" spans="1:6">
      <c r="B88" s="202"/>
      <c r="C88" s="202"/>
      <c r="D88" s="202"/>
    </row>
    <row r="89" spans="1:6" ht="15">
      <c r="B89" s="202" t="s">
        <v>434</v>
      </c>
      <c r="C89" s="202"/>
      <c r="D89" s="202"/>
    </row>
    <row r="90" spans="1:6" ht="15">
      <c r="B90" s="204" t="s">
        <v>435</v>
      </c>
      <c r="C90" s="211">
        <v>0</v>
      </c>
      <c r="D90" s="202"/>
      <c r="F90" s="229"/>
    </row>
    <row r="91" spans="1:6" ht="15">
      <c r="B91" s="204" t="s">
        <v>436</v>
      </c>
      <c r="C91" s="215">
        <f>SQRT(C75/C79+C75/D79)</f>
        <v>1.0327955589886444</v>
      </c>
      <c r="D91" s="202"/>
      <c r="F91" s="229"/>
    </row>
    <row r="92" spans="1:6">
      <c r="B92" s="202"/>
      <c r="C92" s="202"/>
      <c r="D92" s="202"/>
    </row>
    <row r="93" spans="1:6">
      <c r="B93" s="214" t="s">
        <v>211</v>
      </c>
      <c r="C93" s="42">
        <v>0.05</v>
      </c>
      <c r="D93" s="202"/>
    </row>
    <row r="94" spans="1:6">
      <c r="B94" s="210" t="s">
        <v>437</v>
      </c>
      <c r="C94" s="215">
        <f>-NORMSINV(C93)</f>
        <v>1.6448536269514726</v>
      </c>
      <c r="D94" s="202"/>
    </row>
    <row r="95" spans="1:6" ht="15">
      <c r="B95" s="229" t="s">
        <v>438</v>
      </c>
      <c r="C95" s="42">
        <f>C90+C94*C91</f>
        <v>1.6987975211018453</v>
      </c>
      <c r="D95" s="202"/>
    </row>
    <row r="96" spans="1:6" ht="15">
      <c r="B96" s="229" t="s">
        <v>439</v>
      </c>
      <c r="C96" s="42">
        <f>C81-D81</f>
        <v>1.5</v>
      </c>
      <c r="D96" s="202"/>
    </row>
    <row r="97" spans="2:5" s="12" customFormat="1" ht="14" thickBot="1">
      <c r="B97" s="202"/>
      <c r="C97" s="202"/>
      <c r="D97" s="202"/>
    </row>
    <row r="98" spans="2:5" s="12" customFormat="1" ht="16" thickBot="1">
      <c r="B98" s="236" t="s">
        <v>440</v>
      </c>
      <c r="C98" s="237"/>
      <c r="D98" s="237"/>
      <c r="E98" s="117"/>
    </row>
    <row r="100" spans="2:5" s="12" customFormat="1">
      <c r="C100" s="91"/>
    </row>
    <row r="112" spans="2:5" s="12" customFormat="1">
      <c r="C112" s="91"/>
    </row>
    <row r="114" spans="1:7" ht="15">
      <c r="A114" s="203" t="s">
        <v>423</v>
      </c>
      <c r="B114" s="210" t="s">
        <v>441</v>
      </c>
      <c r="C114" s="211">
        <v>2</v>
      </c>
    </row>
    <row r="115" spans="1:7">
      <c r="B115" s="210"/>
      <c r="C115" s="211"/>
    </row>
    <row r="116" spans="1:7" ht="15">
      <c r="B116" s="202" t="s">
        <v>414</v>
      </c>
      <c r="C116" s="202"/>
    </row>
    <row r="117" spans="1:7" ht="15">
      <c r="B117" s="204" t="s">
        <v>435</v>
      </c>
      <c r="C117" s="211">
        <f>C114</f>
        <v>2</v>
      </c>
    </row>
    <row r="118" spans="1:7" ht="15">
      <c r="B118" s="204" t="s">
        <v>436</v>
      </c>
      <c r="C118" s="215">
        <f>C91</f>
        <v>1.0327955589886444</v>
      </c>
    </row>
    <row r="121" spans="1:7">
      <c r="E121" s="227"/>
      <c r="F121" s="219" t="s">
        <v>415</v>
      </c>
    </row>
    <row r="122" spans="1:7" ht="15">
      <c r="F122" s="210" t="s">
        <v>416</v>
      </c>
      <c r="G122" s="220" t="s">
        <v>442</v>
      </c>
    </row>
    <row r="123" spans="1:7" ht="15">
      <c r="F123" s="210" t="s">
        <v>418</v>
      </c>
      <c r="G123" s="215">
        <f>(C95-C117)/C118</f>
        <v>-0.29163804615223599</v>
      </c>
    </row>
    <row r="124" spans="1:7" ht="15">
      <c r="F124" s="210" t="s">
        <v>419</v>
      </c>
      <c r="G124" s="215">
        <v>0</v>
      </c>
    </row>
    <row r="125" spans="1:7" ht="16" thickBot="1">
      <c r="F125" s="210" t="s">
        <v>420</v>
      </c>
      <c r="G125" s="215">
        <f>NORMSDIST(G123)</f>
        <v>0.38528169135939871</v>
      </c>
    </row>
    <row r="126" spans="1:7" ht="15">
      <c r="E126" s="228"/>
      <c r="F126" s="238" t="s">
        <v>443</v>
      </c>
      <c r="G126" s="239">
        <f>G125-G124</f>
        <v>0.38528169135939871</v>
      </c>
    </row>
    <row r="127" spans="1:7" ht="14" thickBot="1">
      <c r="E127" s="224"/>
      <c r="F127" s="240" t="s">
        <v>444</v>
      </c>
      <c r="G127" s="241">
        <f>1-G126</f>
        <v>0.61471830864060129</v>
      </c>
    </row>
    <row r="129" spans="1:7">
      <c r="C129" s="91"/>
    </row>
    <row r="132" spans="1:7" s="202" customFormat="1">
      <c r="A132" s="203"/>
    </row>
    <row r="133" spans="1:7" s="202" customFormat="1" ht="16">
      <c r="A133" s="203"/>
      <c r="B133" s="285" t="s">
        <v>445</v>
      </c>
      <c r="C133" s="285"/>
      <c r="D133" s="285"/>
      <c r="E133" s="285"/>
      <c r="F133" s="285"/>
      <c r="G133" s="285"/>
    </row>
    <row r="134" spans="1:7" s="202" customFormat="1">
      <c r="A134" s="203"/>
      <c r="B134" s="216" t="s">
        <v>446</v>
      </c>
      <c r="C134" s="242"/>
      <c r="E134" s="210"/>
      <c r="F134" s="216" t="s">
        <v>447</v>
      </c>
      <c r="G134" s="242"/>
    </row>
    <row r="135" spans="1:7" s="202" customFormat="1" ht="15">
      <c r="A135" s="203"/>
      <c r="B135" s="216" t="s">
        <v>448</v>
      </c>
      <c r="C135" s="128">
        <f>C79</f>
        <v>10</v>
      </c>
      <c r="E135" s="216"/>
      <c r="F135" s="216" t="s">
        <v>449</v>
      </c>
      <c r="G135" s="128">
        <f>D79</f>
        <v>6</v>
      </c>
    </row>
    <row r="136" spans="1:7" s="202" customFormat="1" ht="15">
      <c r="A136" s="203"/>
      <c r="B136" s="216" t="s">
        <v>450</v>
      </c>
      <c r="C136" s="128">
        <f>C81</f>
        <v>15.5</v>
      </c>
      <c r="E136" s="216"/>
      <c r="F136" s="216" t="s">
        <v>451</v>
      </c>
      <c r="G136" s="128">
        <f>D81</f>
        <v>14</v>
      </c>
    </row>
    <row r="137" spans="1:7" s="202" customFormat="1" ht="15">
      <c r="A137" s="203"/>
      <c r="B137" s="214" t="s">
        <v>452</v>
      </c>
      <c r="C137" s="215">
        <f>SQRT(C75/C135)</f>
        <v>0.63245553203367588</v>
      </c>
      <c r="E137" s="214"/>
      <c r="F137" s="214" t="s">
        <v>453</v>
      </c>
      <c r="G137" s="215">
        <f>SQRT(C75/G135)</f>
        <v>0.81649658092772603</v>
      </c>
    </row>
    <row r="138" spans="1:7" s="202" customFormat="1">
      <c r="A138" s="203"/>
      <c r="B138" s="210" t="s">
        <v>454</v>
      </c>
      <c r="C138" s="243">
        <v>0.85</v>
      </c>
      <c r="D138" s="242"/>
      <c r="E138" s="210"/>
      <c r="F138" s="210" t="s">
        <v>454</v>
      </c>
      <c r="G138" s="243">
        <f>C138</f>
        <v>0.85</v>
      </c>
    </row>
    <row r="139" spans="1:7" s="202" customFormat="1" ht="14" thickBot="1">
      <c r="A139" s="203"/>
      <c r="B139" s="229" t="s">
        <v>455</v>
      </c>
      <c r="C139" s="244">
        <f>-NORMSINV((1-C138)/2)</f>
        <v>1.4395314709384572</v>
      </c>
      <c r="D139" s="242"/>
      <c r="E139" s="229"/>
      <c r="F139" s="229" t="s">
        <v>455</v>
      </c>
      <c r="G139" s="244">
        <f>-NORMSINV((1-G138)/2)</f>
        <v>1.4395314709384572</v>
      </c>
    </row>
    <row r="140" spans="1:7" s="202" customFormat="1">
      <c r="A140" s="203"/>
      <c r="B140" s="245" t="s">
        <v>456</v>
      </c>
      <c r="C140" s="246">
        <f>C137*C139</f>
        <v>0.91043964233160202</v>
      </c>
      <c r="D140" s="242"/>
      <c r="E140" s="212"/>
      <c r="F140" s="245" t="s">
        <v>456</v>
      </c>
      <c r="G140" s="246">
        <f>G137*G139</f>
        <v>1.1753725241591106</v>
      </c>
    </row>
    <row r="141" spans="1:7" s="202" customFormat="1">
      <c r="A141" s="203"/>
      <c r="B141" s="247" t="s">
        <v>457</v>
      </c>
      <c r="C141" s="248">
        <f>C136+C140</f>
        <v>16.410439642331603</v>
      </c>
      <c r="D141" s="242"/>
      <c r="E141" s="210"/>
      <c r="F141" s="247" t="s">
        <v>457</v>
      </c>
      <c r="G141" s="248">
        <f>G136+G140</f>
        <v>15.17537252415911</v>
      </c>
    </row>
    <row r="142" spans="1:7" s="202" customFormat="1" ht="14" thickBot="1">
      <c r="A142" s="203"/>
      <c r="B142" s="249" t="s">
        <v>458</v>
      </c>
      <c r="C142" s="250">
        <f>C136-C140</f>
        <v>14.589560357668399</v>
      </c>
      <c r="D142" s="242"/>
      <c r="E142" s="210"/>
      <c r="F142" s="249" t="s">
        <v>458</v>
      </c>
      <c r="G142" s="250">
        <f>G136-G140</f>
        <v>12.82462747584089</v>
      </c>
    </row>
    <row r="143" spans="1:7" s="202" customFormat="1">
      <c r="A143" s="203"/>
      <c r="B143" s="212"/>
      <c r="C143" s="242"/>
      <c r="D143" s="242"/>
      <c r="E143" s="242"/>
    </row>
    <row r="144" spans="1:7" s="202" customFormat="1">
      <c r="A144" s="203"/>
      <c r="B144" s="212"/>
      <c r="C144" s="242"/>
      <c r="D144" s="242" t="s">
        <v>459</v>
      </c>
      <c r="E144" s="242"/>
    </row>
    <row r="145" spans="1:5" s="202" customFormat="1" ht="15">
      <c r="A145" s="203"/>
      <c r="B145" s="212"/>
      <c r="C145" s="242"/>
      <c r="D145" s="229" t="s">
        <v>439</v>
      </c>
      <c r="E145" s="244">
        <f>C96</f>
        <v>1.5</v>
      </c>
    </row>
    <row r="146" spans="1:5" s="202" customFormat="1" ht="15">
      <c r="A146" s="203"/>
      <c r="B146" s="212"/>
      <c r="C146" s="242"/>
      <c r="D146" s="204" t="s">
        <v>436</v>
      </c>
      <c r="E146" s="244">
        <f>C118</f>
        <v>1.0327955589886444</v>
      </c>
    </row>
    <row r="147" spans="1:5" s="202" customFormat="1">
      <c r="A147" s="203"/>
      <c r="B147" s="212"/>
      <c r="C147" s="242"/>
      <c r="D147" s="210" t="s">
        <v>454</v>
      </c>
      <c r="E147" s="243">
        <f>C138</f>
        <v>0.85</v>
      </c>
    </row>
    <row r="148" spans="1:5" s="202" customFormat="1" ht="14" thickBot="1">
      <c r="A148" s="203"/>
      <c r="B148" s="212"/>
      <c r="C148" s="242"/>
      <c r="D148" s="229" t="s">
        <v>455</v>
      </c>
      <c r="E148" s="244">
        <f>-NORMSINV((1-E147)/2)</f>
        <v>1.4395314709384572</v>
      </c>
    </row>
    <row r="149" spans="1:5" s="202" customFormat="1">
      <c r="A149" s="203"/>
      <c r="B149" s="212"/>
      <c r="C149" s="242"/>
      <c r="D149" s="245" t="s">
        <v>456</v>
      </c>
      <c r="E149" s="246">
        <f>E146*E148</f>
        <v>1.4867417102096294</v>
      </c>
    </row>
    <row r="150" spans="1:5" s="202" customFormat="1">
      <c r="A150" s="203"/>
      <c r="B150" s="212"/>
      <c r="C150" s="242"/>
      <c r="D150" s="247" t="s">
        <v>457</v>
      </c>
      <c r="E150" s="248">
        <f>E145+E149</f>
        <v>2.9867417102096292</v>
      </c>
    </row>
    <row r="151" spans="1:5" s="202" customFormat="1" ht="14" thickBot="1">
      <c r="A151" s="203"/>
      <c r="D151" s="249" t="s">
        <v>458</v>
      </c>
      <c r="E151" s="250">
        <f>E145-E149</f>
        <v>1.3258289790370581E-2</v>
      </c>
    </row>
    <row r="152" spans="1:5" s="202" customFormat="1">
      <c r="A152" s="203"/>
      <c r="D152" s="210"/>
      <c r="E152" s="244"/>
    </row>
    <row r="154" spans="1:5">
      <c r="A154" s="199" t="s">
        <v>460</v>
      </c>
      <c r="B154" s="202" t="s">
        <v>461</v>
      </c>
      <c r="C154" s="201"/>
    </row>
    <row r="155" spans="1:5" ht="15">
      <c r="B155" s="204" t="s">
        <v>198</v>
      </c>
      <c r="C155" s="128">
        <v>16</v>
      </c>
    </row>
    <row r="156" spans="1:5">
      <c r="B156" s="204" t="s">
        <v>199</v>
      </c>
      <c r="C156" s="128">
        <f>SQRT(C155)</f>
        <v>4</v>
      </c>
    </row>
    <row r="157" spans="1:5">
      <c r="C157" s="91"/>
    </row>
    <row r="158" spans="1:5">
      <c r="B158" s="207" t="s">
        <v>426</v>
      </c>
      <c r="C158" s="202"/>
      <c r="D158" s="202"/>
    </row>
    <row r="159" spans="1:5" ht="15">
      <c r="B159" s="229" t="s">
        <v>241</v>
      </c>
      <c r="C159" s="58">
        <v>10</v>
      </c>
      <c r="D159" s="58">
        <v>10</v>
      </c>
    </row>
    <row r="160" spans="1:5">
      <c r="B160" s="202"/>
      <c r="C160" s="230" t="s">
        <v>462</v>
      </c>
      <c r="D160" s="230" t="s">
        <v>428</v>
      </c>
    </row>
    <row r="161" spans="1:7" ht="15">
      <c r="B161" s="229" t="s">
        <v>244</v>
      </c>
      <c r="C161" s="231">
        <v>25.8</v>
      </c>
      <c r="D161" s="231">
        <v>22.2</v>
      </c>
    </row>
    <row r="162" spans="1:7">
      <c r="B162" s="202"/>
      <c r="C162" s="202"/>
      <c r="D162" s="202"/>
    </row>
    <row r="163" spans="1:7">
      <c r="A163" s="203" t="s">
        <v>463</v>
      </c>
      <c r="B163" s="207" t="s">
        <v>464</v>
      </c>
      <c r="C163" s="202"/>
      <c r="D163" s="202"/>
    </row>
    <row r="164" spans="1:7" ht="15">
      <c r="B164" s="232" t="s">
        <v>27</v>
      </c>
      <c r="C164" s="233" t="s">
        <v>431</v>
      </c>
      <c r="D164" s="202"/>
    </row>
    <row r="165" spans="1:7" ht="15">
      <c r="B165" s="232" t="s">
        <v>29</v>
      </c>
      <c r="C165" s="233" t="s">
        <v>432</v>
      </c>
      <c r="D165" s="202"/>
    </row>
    <row r="166" spans="1:7">
      <c r="B166" s="232"/>
      <c r="C166" s="234"/>
      <c r="D166" s="202"/>
    </row>
    <row r="167" spans="1:7" ht="15">
      <c r="B167" s="235" t="s">
        <v>465</v>
      </c>
      <c r="C167" s="202"/>
      <c r="D167" s="202"/>
    </row>
    <row r="168" spans="1:7">
      <c r="B168" s="202"/>
      <c r="C168" s="202"/>
      <c r="D168" s="202"/>
    </row>
    <row r="169" spans="1:7" ht="15">
      <c r="B169" s="202" t="s">
        <v>434</v>
      </c>
      <c r="C169" s="202"/>
      <c r="D169" s="202"/>
    </row>
    <row r="170" spans="1:7" ht="15">
      <c r="B170" s="204" t="s">
        <v>435</v>
      </c>
      <c r="C170" s="211">
        <v>0</v>
      </c>
      <c r="D170" s="202"/>
    </row>
    <row r="171" spans="1:7" ht="15">
      <c r="B171" s="204" t="s">
        <v>436</v>
      </c>
      <c r="C171" s="215">
        <f>SQRT(C155/C159+C155/D159)</f>
        <v>1.7888543819998317</v>
      </c>
      <c r="D171" s="202"/>
    </row>
    <row r="172" spans="1:7">
      <c r="B172" s="202"/>
      <c r="C172" s="202"/>
      <c r="D172" s="202"/>
    </row>
    <row r="173" spans="1:7">
      <c r="B173" s="214" t="s">
        <v>211</v>
      </c>
      <c r="C173" s="42">
        <v>0.1</v>
      </c>
      <c r="D173" s="202"/>
    </row>
    <row r="174" spans="1:7">
      <c r="B174" s="210" t="s">
        <v>437</v>
      </c>
      <c r="C174" s="215">
        <f>-NORMSINV(C173)</f>
        <v>1.2815515655446006</v>
      </c>
      <c r="D174" s="202"/>
    </row>
    <row r="175" spans="1:7" ht="15">
      <c r="B175" s="229" t="s">
        <v>438</v>
      </c>
      <c r="C175" s="42">
        <f>C170+C174*C171</f>
        <v>2.2925091337832031</v>
      </c>
      <c r="D175" s="202"/>
    </row>
    <row r="176" spans="1:7" ht="15">
      <c r="B176" s="229" t="s">
        <v>439</v>
      </c>
      <c r="C176" s="42">
        <f>C161-D161</f>
        <v>3.6000000000000014</v>
      </c>
      <c r="D176" s="202"/>
      <c r="G176" s="91"/>
    </row>
    <row r="177" spans="2:5" s="12" customFormat="1" ht="14" thickBot="1">
      <c r="B177" s="202"/>
      <c r="C177" s="202"/>
      <c r="D177" s="202"/>
    </row>
    <row r="178" spans="2:5" s="12" customFormat="1" ht="16" thickBot="1">
      <c r="B178" s="236" t="s">
        <v>466</v>
      </c>
      <c r="C178" s="237"/>
      <c r="D178" s="251"/>
      <c r="E178" s="6"/>
    </row>
    <row r="194" spans="1:7" ht="15">
      <c r="A194" s="203" t="s">
        <v>423</v>
      </c>
      <c r="B194" s="210" t="s">
        <v>441</v>
      </c>
      <c r="C194" s="211">
        <f>25-22</f>
        <v>3</v>
      </c>
    </row>
    <row r="195" spans="1:7">
      <c r="B195" s="210"/>
      <c r="C195" s="211"/>
    </row>
    <row r="196" spans="1:7" ht="15">
      <c r="B196" s="202" t="s">
        <v>414</v>
      </c>
      <c r="C196" s="202"/>
    </row>
    <row r="197" spans="1:7" ht="15">
      <c r="B197" s="204" t="s">
        <v>435</v>
      </c>
      <c r="C197" s="211">
        <f>C194</f>
        <v>3</v>
      </c>
    </row>
    <row r="198" spans="1:7" ht="15">
      <c r="B198" s="204" t="s">
        <v>436</v>
      </c>
      <c r="C198" s="215">
        <f>C171</f>
        <v>1.7888543819998317</v>
      </c>
    </row>
    <row r="201" spans="1:7">
      <c r="E201" s="227"/>
      <c r="F201" s="219" t="s">
        <v>415</v>
      </c>
    </row>
    <row r="202" spans="1:7" ht="15">
      <c r="F202" s="210" t="s">
        <v>416</v>
      </c>
      <c r="G202" s="220" t="s">
        <v>417</v>
      </c>
    </row>
    <row r="203" spans="1:7" ht="15">
      <c r="F203" s="210" t="s">
        <v>418</v>
      </c>
      <c r="G203" s="215">
        <f>(C175-C197)/C198</f>
        <v>-0.39549941758024187</v>
      </c>
    </row>
    <row r="204" spans="1:7" ht="15">
      <c r="F204" s="210" t="s">
        <v>419</v>
      </c>
      <c r="G204" s="215">
        <v>0</v>
      </c>
    </row>
    <row r="205" spans="1:7" ht="16" thickBot="1">
      <c r="F205" s="210" t="s">
        <v>420</v>
      </c>
      <c r="G205" s="215">
        <f>NORMSDIST(G203)</f>
        <v>0.34623717568184731</v>
      </c>
    </row>
    <row r="206" spans="1:7" ht="15">
      <c r="C206" s="91"/>
      <c r="E206" s="228"/>
      <c r="F206" s="238" t="s">
        <v>443</v>
      </c>
      <c r="G206" s="239">
        <f>G205-G204</f>
        <v>0.34623717568184731</v>
      </c>
    </row>
    <row r="207" spans="1:7" ht="14" thickBot="1">
      <c r="E207" s="224"/>
      <c r="F207" s="240" t="s">
        <v>444</v>
      </c>
      <c r="G207" s="241">
        <f>1-G206</f>
        <v>0.65376282431815269</v>
      </c>
    </row>
    <row r="213" spans="1:7" s="202" customFormat="1">
      <c r="A213" s="203"/>
    </row>
    <row r="214" spans="1:7" s="202" customFormat="1" ht="16">
      <c r="A214" s="203"/>
      <c r="B214" s="285" t="s">
        <v>445</v>
      </c>
      <c r="C214" s="285"/>
      <c r="D214" s="285"/>
      <c r="E214" s="285"/>
      <c r="F214" s="285"/>
      <c r="G214" s="285"/>
    </row>
    <row r="215" spans="1:7" s="202" customFormat="1">
      <c r="A215" s="203"/>
      <c r="B215" s="216" t="s">
        <v>467</v>
      </c>
      <c r="C215" s="216"/>
      <c r="D215" s="216"/>
      <c r="E215" s="210"/>
      <c r="F215" s="216" t="s">
        <v>428</v>
      </c>
      <c r="G215" s="242"/>
    </row>
    <row r="216" spans="1:7" s="202" customFormat="1" ht="15">
      <c r="A216" s="203"/>
      <c r="B216" s="216" t="s">
        <v>448</v>
      </c>
      <c r="C216" s="128">
        <f>C159</f>
        <v>10</v>
      </c>
      <c r="E216" s="216"/>
      <c r="F216" s="216" t="s">
        <v>448</v>
      </c>
      <c r="G216" s="128">
        <f>D159</f>
        <v>10</v>
      </c>
    </row>
    <row r="217" spans="1:7" s="202" customFormat="1" ht="15">
      <c r="A217" s="203"/>
      <c r="B217" s="216" t="s">
        <v>450</v>
      </c>
      <c r="C217" s="128">
        <f>C161</f>
        <v>25.8</v>
      </c>
      <c r="E217" s="216"/>
      <c r="F217" s="216" t="s">
        <v>450</v>
      </c>
      <c r="G217" s="128">
        <f>D161</f>
        <v>22.2</v>
      </c>
    </row>
    <row r="218" spans="1:7" s="202" customFormat="1" ht="15">
      <c r="A218" s="203"/>
      <c r="B218" s="214" t="s">
        <v>452</v>
      </c>
      <c r="C218" s="215">
        <f>SQRT(C155/C216)</f>
        <v>1.2649110640673518</v>
      </c>
      <c r="E218" s="214"/>
      <c r="F218" s="214" t="s">
        <v>452</v>
      </c>
      <c r="G218" s="215">
        <f>SQRT(C155/G216)</f>
        <v>1.2649110640673518</v>
      </c>
    </row>
    <row r="219" spans="1:7" s="202" customFormat="1">
      <c r="A219" s="203"/>
      <c r="B219" s="210" t="s">
        <v>454</v>
      </c>
      <c r="C219" s="243">
        <v>0.85</v>
      </c>
      <c r="D219" s="242"/>
      <c r="E219" s="210"/>
      <c r="F219" s="210" t="s">
        <v>454</v>
      </c>
      <c r="G219" s="243">
        <f>C219</f>
        <v>0.85</v>
      </c>
    </row>
    <row r="220" spans="1:7" s="202" customFormat="1" ht="14" thickBot="1">
      <c r="A220" s="203"/>
      <c r="B220" s="229" t="s">
        <v>455</v>
      </c>
      <c r="C220" s="244">
        <f>-NORMSINV((1-C219)/2)</f>
        <v>1.4395314709384572</v>
      </c>
      <c r="D220" s="242"/>
      <c r="E220" s="229"/>
      <c r="F220" s="229" t="s">
        <v>455</v>
      </c>
      <c r="G220" s="244">
        <f>-NORMSINV((1-G219)/2)</f>
        <v>1.4395314709384572</v>
      </c>
    </row>
    <row r="221" spans="1:7" s="202" customFormat="1">
      <c r="A221" s="203"/>
      <c r="B221" s="245" t="s">
        <v>468</v>
      </c>
      <c r="C221" s="246">
        <f>C218*C220</f>
        <v>1.820879284663204</v>
      </c>
      <c r="D221" s="242"/>
      <c r="E221" s="212"/>
      <c r="F221" s="245" t="s">
        <v>468</v>
      </c>
      <c r="G221" s="246">
        <f>G218*G220</f>
        <v>1.820879284663204</v>
      </c>
    </row>
    <row r="222" spans="1:7" s="202" customFormat="1">
      <c r="A222" s="203"/>
      <c r="B222" s="247" t="s">
        <v>469</v>
      </c>
      <c r="C222" s="248">
        <f>C217+C221</f>
        <v>27.620879284663204</v>
      </c>
      <c r="D222" s="242"/>
      <c r="E222" s="210"/>
      <c r="F222" s="247" t="s">
        <v>469</v>
      </c>
      <c r="G222" s="248">
        <f>G217+G221</f>
        <v>24.020879284663202</v>
      </c>
    </row>
    <row r="223" spans="1:7" s="202" customFormat="1" ht="14" thickBot="1">
      <c r="A223" s="203"/>
      <c r="B223" s="249" t="s">
        <v>458</v>
      </c>
      <c r="C223" s="250">
        <f>C217-C221</f>
        <v>23.979120715336798</v>
      </c>
      <c r="D223" s="242"/>
      <c r="E223" s="210"/>
      <c r="F223" s="249" t="s">
        <v>458</v>
      </c>
      <c r="G223" s="250">
        <f>G217-G221</f>
        <v>20.379120715336796</v>
      </c>
    </row>
    <row r="224" spans="1:7" s="202" customFormat="1">
      <c r="A224" s="203"/>
      <c r="B224" s="212"/>
      <c r="C224" s="242"/>
      <c r="D224" s="242"/>
      <c r="E224" s="242"/>
    </row>
    <row r="225" spans="1:5" s="202" customFormat="1">
      <c r="A225" s="203"/>
      <c r="B225" s="212"/>
      <c r="C225" s="242"/>
      <c r="D225" s="242" t="s">
        <v>470</v>
      </c>
      <c r="E225" s="242"/>
    </row>
    <row r="226" spans="1:5" s="202" customFormat="1" ht="15">
      <c r="A226" s="203"/>
      <c r="B226" s="212"/>
      <c r="C226" s="242"/>
      <c r="D226" s="229" t="s">
        <v>439</v>
      </c>
      <c r="E226" s="244">
        <f>C176</f>
        <v>3.6000000000000014</v>
      </c>
    </row>
    <row r="227" spans="1:5" s="202" customFormat="1" ht="15">
      <c r="A227" s="203"/>
      <c r="B227" s="212"/>
      <c r="C227" s="242"/>
      <c r="D227" s="204" t="s">
        <v>436</v>
      </c>
      <c r="E227" s="244">
        <f>C198</f>
        <v>1.7888543819998317</v>
      </c>
    </row>
    <row r="228" spans="1:5" s="202" customFormat="1">
      <c r="A228" s="203"/>
      <c r="B228" s="212"/>
      <c r="C228" s="242"/>
      <c r="D228" s="210" t="s">
        <v>454</v>
      </c>
      <c r="E228" s="243">
        <f>C219</f>
        <v>0.85</v>
      </c>
    </row>
    <row r="229" spans="1:5" s="202" customFormat="1" ht="14" thickBot="1">
      <c r="A229" s="203"/>
      <c r="B229" s="212"/>
      <c r="C229" s="242"/>
      <c r="D229" s="229" t="s">
        <v>455</v>
      </c>
      <c r="E229" s="244">
        <f>-NORMSINV((1-E228)/2)</f>
        <v>1.4395314709384572</v>
      </c>
    </row>
    <row r="230" spans="1:5" s="202" customFormat="1">
      <c r="A230" s="203"/>
      <c r="B230" s="212"/>
      <c r="C230" s="242"/>
      <c r="D230" s="245" t="s">
        <v>468</v>
      </c>
      <c r="E230" s="246">
        <f>E227*E229</f>
        <v>2.5751121798149228</v>
      </c>
    </row>
    <row r="231" spans="1:5" s="202" customFormat="1">
      <c r="A231" s="203"/>
      <c r="B231" s="212"/>
      <c r="C231" s="242"/>
      <c r="D231" s="247" t="s">
        <v>469</v>
      </c>
      <c r="E231" s="248">
        <f>E226+E230</f>
        <v>6.1751121798149242</v>
      </c>
    </row>
    <row r="232" spans="1:5" s="202" customFormat="1" ht="14" thickBot="1">
      <c r="A232" s="203"/>
      <c r="D232" s="249" t="s">
        <v>458</v>
      </c>
      <c r="E232" s="250">
        <f>E226-E230</f>
        <v>1.0248878201850786</v>
      </c>
    </row>
    <row r="233" spans="1:5">
      <c r="B233" s="229"/>
    </row>
    <row r="234" spans="1:5" ht="15">
      <c r="A234" s="203" t="s">
        <v>471</v>
      </c>
      <c r="B234" s="229" t="s">
        <v>472</v>
      </c>
      <c r="C234" s="215">
        <f>-NORMSINV(0.98)</f>
        <v>-2.0537489106318221</v>
      </c>
      <c r="D234" s="12" t="s">
        <v>473</v>
      </c>
    </row>
    <row r="235" spans="1:5" ht="15">
      <c r="B235" s="229" t="s">
        <v>472</v>
      </c>
      <c r="C235" s="215">
        <f>NORMSINV(0.9)</f>
        <v>1.2815515655446006</v>
      </c>
      <c r="D235" s="12" t="s">
        <v>474</v>
      </c>
    </row>
    <row r="236" spans="1:5" ht="15">
      <c r="B236" s="229" t="s">
        <v>475</v>
      </c>
      <c r="C236" s="91" t="s">
        <v>476</v>
      </c>
      <c r="D236" s="12" t="s">
        <v>477</v>
      </c>
    </row>
    <row r="237" spans="1:5" ht="15">
      <c r="B237" s="229" t="s">
        <v>475</v>
      </c>
      <c r="C237" s="91" t="s">
        <v>478</v>
      </c>
      <c r="D237" s="12" t="s">
        <v>479</v>
      </c>
    </row>
    <row r="238" spans="1:5" ht="15">
      <c r="B238" s="252" t="s">
        <v>480</v>
      </c>
      <c r="C238" s="91" t="s">
        <v>481</v>
      </c>
      <c r="D238" s="12" t="s">
        <v>482</v>
      </c>
    </row>
    <row r="239" spans="1:5" ht="15">
      <c r="B239" s="229">
        <f>2/3.335</f>
        <v>0.59970014992503751</v>
      </c>
      <c r="C239" s="253" t="s">
        <v>483</v>
      </c>
      <c r="D239" s="254" t="s">
        <v>484</v>
      </c>
    </row>
    <row r="240" spans="1:5" ht="16" thickBot="1">
      <c r="B240" s="229">
        <f>B239^2</f>
        <v>0.35964026982011249</v>
      </c>
      <c r="C240" s="253" t="s">
        <v>485</v>
      </c>
      <c r="D240" s="255" t="s">
        <v>486</v>
      </c>
    </row>
    <row r="241" spans="1:7" ht="14" thickBot="1">
      <c r="B241" s="256" t="s">
        <v>487</v>
      </c>
      <c r="C241" s="257" t="s">
        <v>488</v>
      </c>
      <c r="D241" s="258">
        <f>32/B240</f>
        <v>88.977799999999988</v>
      </c>
    </row>
    <row r="244" spans="1:7" s="260" customFormat="1" ht="16">
      <c r="A244" s="259" t="s">
        <v>489</v>
      </c>
      <c r="B244" s="286" t="s">
        <v>490</v>
      </c>
      <c r="C244" s="286"/>
      <c r="D244" s="286"/>
      <c r="E244" s="286"/>
      <c r="F244" s="286"/>
      <c r="G244" s="286"/>
    </row>
    <row r="245" spans="1:7" s="260" customFormat="1">
      <c r="A245" s="261"/>
      <c r="B245" s="284" t="s">
        <v>491</v>
      </c>
      <c r="C245" s="284"/>
      <c r="D245" s="262"/>
      <c r="E245" s="263"/>
      <c r="F245" s="284" t="s">
        <v>492</v>
      </c>
      <c r="G245" s="284"/>
    </row>
    <row r="246" spans="1:7" s="260" customFormat="1" ht="15">
      <c r="A246" s="261"/>
      <c r="B246" s="264" t="s">
        <v>493</v>
      </c>
      <c r="C246" s="135">
        <v>5</v>
      </c>
      <c r="D246" s="262"/>
      <c r="E246" s="264"/>
      <c r="F246" s="264" t="s">
        <v>246</v>
      </c>
      <c r="G246" s="135">
        <v>5</v>
      </c>
    </row>
    <row r="247" spans="1:7" s="260" customFormat="1" ht="15">
      <c r="A247" s="261"/>
      <c r="B247" s="264" t="s">
        <v>494</v>
      </c>
      <c r="C247" s="135">
        <v>85</v>
      </c>
      <c r="D247" s="262"/>
      <c r="E247" s="264"/>
      <c r="F247" s="264" t="s">
        <v>494</v>
      </c>
      <c r="G247" s="135">
        <v>80</v>
      </c>
    </row>
    <row r="248" spans="1:7" s="260" customFormat="1">
      <c r="A248" s="261"/>
      <c r="B248" s="265" t="s">
        <v>248</v>
      </c>
      <c r="C248" s="266">
        <f>SQRT(22.5)</f>
        <v>4.7434164902525691</v>
      </c>
      <c r="D248" s="262"/>
      <c r="E248" s="265"/>
      <c r="F248" s="265" t="s">
        <v>248</v>
      </c>
      <c r="G248" s="266">
        <f>SQRT(22.5)</f>
        <v>4.7434164902525691</v>
      </c>
    </row>
    <row r="249" spans="1:7" s="260" customFormat="1">
      <c r="A249" s="261"/>
      <c r="B249" s="263" t="s">
        <v>454</v>
      </c>
      <c r="C249" s="267">
        <v>0.7</v>
      </c>
      <c r="D249" s="268"/>
      <c r="E249" s="263"/>
      <c r="F249" s="263" t="s">
        <v>454</v>
      </c>
      <c r="G249" s="267">
        <f>C249</f>
        <v>0.7</v>
      </c>
    </row>
    <row r="250" spans="1:7" s="260" customFormat="1" ht="14" thickBot="1">
      <c r="A250" s="261"/>
      <c r="B250" s="264" t="s">
        <v>455</v>
      </c>
      <c r="C250" s="269">
        <f>-NORMSINV((1-C249)/2)</f>
        <v>1.0364333894937898</v>
      </c>
      <c r="D250" s="268"/>
      <c r="E250" s="264"/>
      <c r="F250" s="264" t="s">
        <v>455</v>
      </c>
      <c r="G250" s="269">
        <f>-NORMSINV((1-G249)/2)</f>
        <v>1.0364333894937898</v>
      </c>
    </row>
    <row r="251" spans="1:7" s="260" customFormat="1">
      <c r="A251" s="261"/>
      <c r="B251" s="270" t="s">
        <v>456</v>
      </c>
      <c r="C251" s="271">
        <f>C248*C250</f>
        <v>4.9162352307732062</v>
      </c>
      <c r="D251" s="268"/>
      <c r="E251" s="269"/>
      <c r="F251" s="270" t="s">
        <v>456</v>
      </c>
      <c r="G251" s="271">
        <f>G248*G250</f>
        <v>4.9162352307732062</v>
      </c>
    </row>
    <row r="252" spans="1:7" s="260" customFormat="1">
      <c r="A252" s="261"/>
      <c r="B252" s="272" t="s">
        <v>457</v>
      </c>
      <c r="C252" s="273">
        <f>C247+C251</f>
        <v>89.916235230773211</v>
      </c>
      <c r="D252" s="268"/>
      <c r="E252" s="263"/>
      <c r="F252" s="272" t="s">
        <v>457</v>
      </c>
      <c r="G252" s="273">
        <f>G247+G251</f>
        <v>84.916235230773211</v>
      </c>
    </row>
    <row r="253" spans="1:7" s="260" customFormat="1" ht="14" thickBot="1">
      <c r="A253" s="261"/>
      <c r="B253" s="274" t="s">
        <v>458</v>
      </c>
      <c r="C253" s="275">
        <f>C247-C251</f>
        <v>80.083764769226789</v>
      </c>
      <c r="D253" s="268"/>
      <c r="E253" s="263"/>
      <c r="F253" s="274" t="s">
        <v>458</v>
      </c>
      <c r="G253" s="275">
        <f>G247-G251</f>
        <v>75.083764769226789</v>
      </c>
    </row>
    <row r="254" spans="1:7" s="260" customFormat="1">
      <c r="A254" s="261"/>
    </row>
    <row r="255" spans="1:7" s="260" customFormat="1" ht="16">
      <c r="A255" s="261"/>
      <c r="B255" s="286" t="s">
        <v>495</v>
      </c>
      <c r="C255" s="286"/>
      <c r="D255" s="286"/>
      <c r="E255" s="286"/>
      <c r="F255" s="286"/>
      <c r="G255" s="286"/>
    </row>
    <row r="256" spans="1:7" s="260" customFormat="1">
      <c r="A256" s="261"/>
      <c r="B256" s="284" t="s">
        <v>491</v>
      </c>
      <c r="C256" s="284"/>
      <c r="D256" s="262"/>
      <c r="E256" s="263"/>
      <c r="F256" s="284" t="s">
        <v>492</v>
      </c>
      <c r="G256" s="284"/>
    </row>
    <row r="257" spans="1:7" s="260" customFormat="1" ht="15">
      <c r="A257" s="261"/>
      <c r="B257" s="264" t="s">
        <v>493</v>
      </c>
      <c r="C257" s="135">
        <v>5</v>
      </c>
      <c r="D257" s="262"/>
      <c r="E257" s="264"/>
      <c r="F257" s="264" t="s">
        <v>246</v>
      </c>
      <c r="G257" s="135">
        <v>5</v>
      </c>
    </row>
    <row r="258" spans="1:7" s="260" customFormat="1" ht="15">
      <c r="A258" s="261"/>
      <c r="B258" s="264" t="s">
        <v>494</v>
      </c>
      <c r="C258" s="135">
        <v>85</v>
      </c>
      <c r="D258" s="262"/>
      <c r="E258" s="264"/>
      <c r="F258" s="264" t="s">
        <v>494</v>
      </c>
      <c r="G258" s="135">
        <v>80</v>
      </c>
    </row>
    <row r="259" spans="1:7" s="260" customFormat="1">
      <c r="A259" s="261"/>
      <c r="B259" s="265" t="s">
        <v>248</v>
      </c>
      <c r="C259" s="266">
        <f>SQRT(22.5)</f>
        <v>4.7434164902525691</v>
      </c>
      <c r="D259" s="262"/>
      <c r="E259" s="265"/>
      <c r="F259" s="265" t="s">
        <v>248</v>
      </c>
      <c r="G259" s="266">
        <f>SQRT(22.5)</f>
        <v>4.7434164902525691</v>
      </c>
    </row>
    <row r="260" spans="1:7" s="260" customFormat="1">
      <c r="A260" s="261"/>
      <c r="B260" s="263" t="s">
        <v>454</v>
      </c>
      <c r="C260" s="267">
        <v>0.8</v>
      </c>
      <c r="D260" s="268"/>
      <c r="E260" s="263"/>
      <c r="F260" s="263" t="s">
        <v>454</v>
      </c>
      <c r="G260" s="267">
        <f>C260</f>
        <v>0.8</v>
      </c>
    </row>
    <row r="261" spans="1:7" s="260" customFormat="1" ht="14" thickBot="1">
      <c r="A261" s="261"/>
      <c r="B261" s="264" t="s">
        <v>455</v>
      </c>
      <c r="C261" s="269">
        <f>-NORMSINV((1-C260)/2)</f>
        <v>1.2815515655446006</v>
      </c>
      <c r="D261" s="268"/>
      <c r="E261" s="264"/>
      <c r="F261" s="264" t="s">
        <v>455</v>
      </c>
      <c r="G261" s="269">
        <f>-NORMSINV((1-G260)/2)</f>
        <v>1.2815515655446006</v>
      </c>
    </row>
    <row r="262" spans="1:7" s="260" customFormat="1">
      <c r="A262" s="261"/>
      <c r="B262" s="270" t="s">
        <v>456</v>
      </c>
      <c r="C262" s="271">
        <f>C259*C261</f>
        <v>6.0789328291132545</v>
      </c>
      <c r="D262" s="268"/>
      <c r="E262" s="269"/>
      <c r="F262" s="270" t="s">
        <v>456</v>
      </c>
      <c r="G262" s="271">
        <f>G259*G261</f>
        <v>6.0789328291132545</v>
      </c>
    </row>
    <row r="263" spans="1:7" s="260" customFormat="1">
      <c r="A263" s="261"/>
      <c r="B263" s="272" t="s">
        <v>457</v>
      </c>
      <c r="C263" s="273">
        <f>C258+C262</f>
        <v>91.078932829113256</v>
      </c>
      <c r="D263" s="268"/>
      <c r="E263" s="263"/>
      <c r="F263" s="272" t="s">
        <v>457</v>
      </c>
      <c r="G263" s="273">
        <f>G258+G262</f>
        <v>86.078932829113256</v>
      </c>
    </row>
    <row r="264" spans="1:7" s="260" customFormat="1" ht="14" thickBot="1">
      <c r="A264" s="261"/>
      <c r="B264" s="274" t="s">
        <v>458</v>
      </c>
      <c r="C264" s="275">
        <f>C258-C262</f>
        <v>78.921067170886744</v>
      </c>
      <c r="D264" s="268"/>
      <c r="E264" s="263"/>
      <c r="F264" s="274" t="s">
        <v>458</v>
      </c>
      <c r="G264" s="275">
        <f>G258-G262</f>
        <v>73.921067170886744</v>
      </c>
    </row>
    <row r="265" spans="1:7" s="260" customFormat="1">
      <c r="A265" s="261"/>
    </row>
    <row r="267" spans="1:7">
      <c r="A267" s="199" t="s">
        <v>496</v>
      </c>
    </row>
    <row r="268" spans="1:7">
      <c r="B268" s="229" t="s">
        <v>497</v>
      </c>
      <c r="C268" s="128">
        <v>100</v>
      </c>
      <c r="E268" s="229" t="s">
        <v>497</v>
      </c>
      <c r="F268" s="128">
        <f>C268</f>
        <v>100</v>
      </c>
    </row>
    <row r="269" spans="1:7">
      <c r="B269" s="229" t="s">
        <v>498</v>
      </c>
      <c r="C269" s="215">
        <f>25/C268</f>
        <v>0.25</v>
      </c>
      <c r="E269" s="229" t="s">
        <v>498</v>
      </c>
      <c r="F269" s="215">
        <f>C269</f>
        <v>0.25</v>
      </c>
    </row>
    <row r="270" spans="1:7">
      <c r="B270" s="214" t="s">
        <v>199</v>
      </c>
      <c r="C270" s="276">
        <f>SQRT((C269*(1-C269))/C268)</f>
        <v>4.3301270189221933E-2</v>
      </c>
      <c r="E270" s="214" t="s">
        <v>199</v>
      </c>
      <c r="F270" s="276">
        <f>SQRT((F269*(1-F269))/F268)</f>
        <v>4.3301270189221933E-2</v>
      </c>
    </row>
    <row r="271" spans="1:7">
      <c r="B271" s="210" t="s">
        <v>454</v>
      </c>
      <c r="C271" s="243">
        <v>0.7</v>
      </c>
      <c r="E271" s="210" t="s">
        <v>454</v>
      </c>
      <c r="F271" s="243">
        <v>0.9</v>
      </c>
    </row>
    <row r="272" spans="1:7" ht="14" thickBot="1">
      <c r="B272" s="229" t="s">
        <v>455</v>
      </c>
      <c r="C272" s="244">
        <f>-NORMSINV((1-C271)/2)</f>
        <v>1.0364333894937898</v>
      </c>
      <c r="E272" s="229" t="s">
        <v>455</v>
      </c>
      <c r="F272" s="244">
        <f>-NORMSINV((1-F271)/2)</f>
        <v>1.6448536269514726</v>
      </c>
    </row>
    <row r="273" spans="2:6" s="12" customFormat="1">
      <c r="B273" s="245" t="s">
        <v>456</v>
      </c>
      <c r="C273" s="246">
        <f>C270*C272</f>
        <v>4.4878882231601684E-2</v>
      </c>
      <c r="E273" s="245" t="s">
        <v>456</v>
      </c>
      <c r="F273" s="246">
        <f>F270*F272</f>
        <v>7.1224251322347373E-2</v>
      </c>
    </row>
    <row r="274" spans="2:6" s="12" customFormat="1">
      <c r="B274" s="247" t="s">
        <v>457</v>
      </c>
      <c r="C274" s="248">
        <f>C269+C273</f>
        <v>0.29487888223160169</v>
      </c>
      <c r="E274" s="247" t="s">
        <v>457</v>
      </c>
      <c r="F274" s="248">
        <f>F269+F273</f>
        <v>0.32122425132234739</v>
      </c>
    </row>
    <row r="275" spans="2:6" s="12" customFormat="1" ht="14" thickBot="1">
      <c r="B275" s="249" t="s">
        <v>458</v>
      </c>
      <c r="C275" s="250">
        <f>C269-C273</f>
        <v>0.20512111776839831</v>
      </c>
      <c r="E275" s="249" t="s">
        <v>458</v>
      </c>
      <c r="F275" s="250">
        <f>F269-F273</f>
        <v>0.17877574867765261</v>
      </c>
    </row>
    <row r="277" spans="2:6" s="12" customFormat="1">
      <c r="B277" s="229" t="s">
        <v>497</v>
      </c>
      <c r="C277" s="128">
        <v>1000</v>
      </c>
      <c r="E277" s="229" t="s">
        <v>497</v>
      </c>
      <c r="F277" s="128">
        <f>C277</f>
        <v>1000</v>
      </c>
    </row>
    <row r="278" spans="2:6" s="12" customFormat="1">
      <c r="B278" s="229" t="s">
        <v>498</v>
      </c>
      <c r="C278" s="215">
        <f>250/C277</f>
        <v>0.25</v>
      </c>
      <c r="E278" s="229" t="s">
        <v>498</v>
      </c>
      <c r="F278" s="215">
        <f>C278</f>
        <v>0.25</v>
      </c>
    </row>
    <row r="279" spans="2:6" s="12" customFormat="1">
      <c r="B279" s="214" t="s">
        <v>199</v>
      </c>
      <c r="C279" s="276">
        <f>SQRT((C278*(1-C278))/C277)</f>
        <v>1.3693063937629153E-2</v>
      </c>
      <c r="E279" s="214" t="s">
        <v>199</v>
      </c>
      <c r="F279" s="276">
        <f>SQRT((F278*(1-F278))/F277)</f>
        <v>1.3693063937629153E-2</v>
      </c>
    </row>
    <row r="280" spans="2:6" s="12" customFormat="1">
      <c r="B280" s="210" t="s">
        <v>454</v>
      </c>
      <c r="C280" s="243">
        <v>0.7</v>
      </c>
      <c r="E280" s="210" t="s">
        <v>454</v>
      </c>
      <c r="F280" s="243">
        <v>0.9</v>
      </c>
    </row>
    <row r="281" spans="2:6" s="12" customFormat="1" ht="14" thickBot="1">
      <c r="B281" s="229" t="s">
        <v>455</v>
      </c>
      <c r="C281" s="244">
        <f>-NORMSINV((1-C280)/2)</f>
        <v>1.0364333894937898</v>
      </c>
      <c r="E281" s="229" t="s">
        <v>455</v>
      </c>
      <c r="F281" s="244">
        <f>-NORMSINV((1-F280)/2)</f>
        <v>1.6448536269514726</v>
      </c>
    </row>
    <row r="282" spans="2:6" s="12" customFormat="1">
      <c r="B282" s="245" t="s">
        <v>456</v>
      </c>
      <c r="C282" s="246">
        <f>C279*C281</f>
        <v>1.4191948669432164E-2</v>
      </c>
      <c r="E282" s="245" t="s">
        <v>456</v>
      </c>
      <c r="F282" s="246">
        <f>F279*F281</f>
        <v>2.2523085881887728E-2</v>
      </c>
    </row>
    <row r="283" spans="2:6" s="12" customFormat="1">
      <c r="B283" s="247" t="s">
        <v>457</v>
      </c>
      <c r="C283" s="248">
        <f>C278+C282</f>
        <v>0.26419194866943219</v>
      </c>
      <c r="E283" s="247" t="s">
        <v>457</v>
      </c>
      <c r="F283" s="248">
        <f>F278+F282</f>
        <v>0.27252308588188773</v>
      </c>
    </row>
    <row r="284" spans="2:6" s="12" customFormat="1" ht="14" thickBot="1">
      <c r="B284" s="249" t="s">
        <v>458</v>
      </c>
      <c r="C284" s="250">
        <f>C278-C282</f>
        <v>0.23580805133056784</v>
      </c>
      <c r="E284" s="249" t="s">
        <v>458</v>
      </c>
      <c r="F284" s="250">
        <f>F278-F282</f>
        <v>0.22747691411811227</v>
      </c>
    </row>
    <row r="298" spans="3:3" s="12" customFormat="1">
      <c r="C298" s="91"/>
    </row>
    <row r="310" spans="3:3" s="12" customFormat="1">
      <c r="C310" s="91"/>
    </row>
    <row r="335" spans="2:2" s="12" customFormat="1">
      <c r="B335" s="91"/>
    </row>
    <row r="336" spans="2:2" s="12" customFormat="1">
      <c r="B336" s="91"/>
    </row>
    <row r="339" spans="2:2" s="12" customFormat="1">
      <c r="B339" s="91"/>
    </row>
  </sheetData>
  <mergeCells count="8">
    <mergeCell ref="B256:C256"/>
    <mergeCell ref="F256:G256"/>
    <mergeCell ref="B133:G133"/>
    <mergeCell ref="B214:G214"/>
    <mergeCell ref="B244:G244"/>
    <mergeCell ref="B245:C245"/>
    <mergeCell ref="F245:G245"/>
    <mergeCell ref="B255:G25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Chapter 5</vt:lpstr>
      <vt:lpstr>Chapter 6</vt:lpstr>
      <vt:lpstr>Chapter 7</vt:lpstr>
      <vt:lpstr>Chapter 8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2017-03-06T15:54:14Z</dcterms:modified>
</cp:coreProperties>
</file>